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80" yWindow="110" windowWidth="8450" windowHeight="4820" firstSheet="6" activeTab="14"/>
  </bookViews>
  <sheets>
    <sheet name="Table1" sheetId="1" r:id="rId1"/>
    <sheet name="Table2" sheetId="2" r:id="rId2"/>
    <sheet name="Table3" sheetId="3" r:id="rId3"/>
    <sheet name="Table4" sheetId="4" r:id="rId4"/>
    <sheet name="Table5" sheetId="5" r:id="rId5"/>
    <sheet name="Table6" sheetId="6" r:id="rId6"/>
    <sheet name="Table7" sheetId="7" r:id="rId7"/>
    <sheet name="Table7a" sheetId="8" r:id="rId8"/>
    <sheet name="Table7b" sheetId="9" r:id="rId9"/>
    <sheet name="Table8" sheetId="10" r:id="rId10"/>
    <sheet name="Table9" sheetId="11" r:id="rId11"/>
    <sheet name="Table10" sheetId="12" r:id="rId12"/>
    <sheet name="Table11" sheetId="13" r:id="rId13"/>
    <sheet name="Table12" sheetId="14" r:id="rId14"/>
    <sheet name="Table13" sheetId="15" r:id="rId15"/>
    <sheet name="Table_12" sheetId="16" r:id="rId16"/>
    <sheet name="Table_12a" sheetId="17" r:id="rId17"/>
    <sheet name="Table_12b" sheetId="18" r:id="rId18"/>
    <sheet name="Table_3_old" sheetId="19" r:id="rId19"/>
    <sheet name="Table_4_old" sheetId="20" r:id="rId20"/>
    <sheet name="Table_10" sheetId="21" r:id="rId21"/>
    <sheet name="Table8 Present" sheetId="22" r:id="rId22"/>
    <sheet name="Table_9" sheetId="23" r:id="rId23"/>
    <sheet name="Table_9a" sheetId="24" r:id="rId24"/>
    <sheet name="Table_9b" sheetId="25" r:id="rId25"/>
    <sheet name="Table9 Present" sheetId="26" r:id="rId26"/>
    <sheet name="Top500sp" sheetId="27" r:id="rId27"/>
    <sheet name="Top500clients" sheetId="28" r:id="rId28"/>
    <sheet name="summary_stat" sheetId="29" r:id="rId29"/>
    <sheet name="gov" sheetId="30" r:id="rId30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<sst xmlns="http://schemas.openxmlformats.org/spreadsheetml/2006/main" count="3355" uniqueCount="1729">
  <si>
    <t xml:space="preserve"> &amp; Main sample. All (RAS) &amp;  &amp;  &amp; AKM sample &amp;  &amp;  \\</t>
  </si>
  <si>
    <t>Dependent variable: ShadowP &amp;  &amp;  &amp;  &amp;  &amp;  &amp;  \\</t>
  </si>
  <si>
    <t xml:space="preserve"> &amp; All (RAS) &amp;  &amp;  &amp;  &amp;  &amp; GAAP (IAS) \\</t>
  </si>
  <si>
    <t>Traded &amp; -0.019 &amp; &amp; &amp; &amp; -0.009 &amp; 0.046 \\</t>
  </si>
  <si>
    <t xml:space="preserve"> &amp;  (0.038)  &amp; &amp; &amp; &amp;  (0.036)  &amp;  (0.047)  \\</t>
  </si>
  <si>
    <t>Sh\_largest\_ind &amp; &amp; &amp; &amp; &amp; 0.47 &amp; 0.793 \\</t>
  </si>
  <si>
    <t xml:space="preserve"> &amp; &amp; &amp; &amp; &amp;  (0.328)  &amp;  (0.36) \ast \ast  \\</t>
  </si>
  <si>
    <t>Big &amp; &amp; &amp; &amp; &amp; -0.091 &amp; -0.075 \\</t>
  </si>
  <si>
    <t xml:space="preserve"> &amp; &amp; &amp; &amp; &amp;  (0.051) \ast  &amp;  (0.095)  \\</t>
  </si>
  <si>
    <t>Sh\_largest\_ind*Big &amp; &amp; &amp; &amp; &amp; -0.71 &amp; -0.975 \\</t>
  </si>
  <si>
    <t xml:space="preserve"> &amp; &amp; &amp; &amp; &amp;  (0.369) \ast  &amp;  (0.38) \ast \ast  \\</t>
  </si>
  <si>
    <t>Foreigner on board &amp; &amp; 0.115 &amp; &amp; &amp; &amp; \\</t>
  </si>
  <si>
    <t xml:space="preserve"> &amp; &amp;  (0.04) \ast \ast \ast  &amp; &amp; &amp; &amp; \\</t>
  </si>
  <si>
    <t>Gov control &amp; &amp; &amp; -0.012 &amp; &amp; &amp; \\</t>
  </si>
  <si>
    <t xml:space="preserve"> &amp; &amp; &amp;  (0.033)  &amp; &amp; &amp; \\</t>
  </si>
  <si>
    <t>Big 4 &amp; &amp; &amp; &amp; -0.024 &amp; &amp; \\</t>
  </si>
  <si>
    <t xml:space="preserve"> &amp; &amp; &amp; &amp;  (0.04)  &amp; &amp; \\</t>
  </si>
  <si>
    <t xml:space="preserve"> Log(assets) &amp;  Y &amp;  Y &amp;  Y &amp;  Y &amp;  Y &amp;  Y \\</t>
  </si>
  <si>
    <t xml:space="preserve"> within &amp; 0.014 &amp; 0.01 &amp; 0.01 &amp; 0.004 &amp; 0.012 &amp; 0.164 \\</t>
  </si>
  <si>
    <t xml:space="preserve"> between &amp; 0.086 &amp; 0.131 &amp; 0.081 &amp; 0.092 &amp; 0.145 &amp; 0.36 \\</t>
  </si>
  <si>
    <t xml:space="preserve"> overall &amp; 0.066 &amp; 0.105 &amp; 0.064 &amp; 0.069 &amp; 0.105 &amp; 0.263 \\</t>
  </si>
  <si>
    <t xml:space="preserve"> Number of obs &amp; 296 &amp; 296 &amp; 295 &amp; 296 &amp; 296 &amp; 78 \\</t>
  </si>
  <si>
    <t xml:space="preserve"> Number of groups  &amp; 166 &amp; 166 &amp; 165 &amp; 166 &amp; 166 &amp; 47 \\</t>
  </si>
  <si>
    <t>Dependent variable &amp; ShadowP &amp;  &amp; ShadowA &amp;  &amp; ShadowR &amp;  \\</t>
  </si>
  <si>
    <t xml:space="preserve"> Sales Margin &amp;  Y &amp;  Y &amp;  Y &amp;  Y &amp;  Y &amp;  Y \\</t>
  </si>
  <si>
    <t xml:space="preserve"> Industry &amp;  N &amp;  Y &amp;  N &amp;  Y &amp;  N &amp;  Y \\</t>
  </si>
  <si>
    <t>Dependent variable: Leverage (debt/assets) &amp;  &amp;  &amp;  &amp;  &amp;  &amp;  \\</t>
  </si>
  <si>
    <t xml:space="preserve"> &amp; Panel &amp;  &amp;  &amp; IV &amp;  &amp;  \\</t>
  </si>
  <si>
    <t>ShadowEBITDA &amp; 0.138 &amp; 0.13 &amp; 0.114 &amp; 0.863 &amp; 0.838 &amp; 0.74 \\</t>
  </si>
  <si>
    <t xml:space="preserve"> &amp;  (0.046) \ast \ast \ast  &amp;  (0.047) \ast \ast \ast  &amp;  (0.048) \ast \ast  &amp;  (0.33) \ast \ast \ast  &amp;  (0.348) \ast \ast  &amp;  (0.525)  \\</t>
  </si>
  <si>
    <t xml:space="preserve"> controls &amp; 0 &amp; 0 &amp; 0 &amp; 0 &amp; 0 &amp; 0 \\</t>
  </si>
  <si>
    <t xml:space="preserve"> Sales\_margin &amp;  N &amp;  Y &amp;  Y &amp;  N &amp;  Y &amp;  Y \\</t>
  </si>
  <si>
    <t xml:space="preserve"> Industry &amp;  N &amp;  N &amp;  Y &amp;  N &amp;  N &amp;  Y \\</t>
  </si>
  <si>
    <t xml:space="preserve"> within &amp; 0.028 &amp; 0.026 &amp; 0.021 &amp; 0 &amp; 0 &amp; 0 \\</t>
  </si>
  <si>
    <t xml:space="preserve"> between &amp; 0.042 &amp; 0.051 &amp; 0.338 &amp; 0 &amp; 0 &amp; 0 \\</t>
  </si>
  <si>
    <t xml:space="preserve"> overall &amp; 0.022 &amp; 0.028 &amp; 0.328 &amp; 0 &amp; 0 &amp; 0 \\</t>
  </si>
  <si>
    <t xml:space="preserve"> Number of obs &amp; 294 &amp; 294 &amp; 294 &amp; 294 &amp; 294 &amp; 294 \\</t>
  </si>
  <si>
    <t xml:space="preserve"> Number of groups  &amp; 163 &amp; 163 &amp; 163 &amp; 0 &amp; 0 &amp; 0 \\</t>
  </si>
  <si>
    <t>ShadowA &amp; 0.889 &amp; 0.871 &amp; 0.668 &amp; 7.319 &amp; 7.116 &amp; 6.323 \\</t>
  </si>
  <si>
    <t xml:space="preserve"> &amp;  (0.312) \ast \ast \ast  &amp;  (0.315) \ast \ast \ast  &amp;  (0.317) \ast \ast  &amp;  (3.003) \ast \ast  &amp;  (3.109) \ast \ast  &amp;  (5.239)  \\</t>
  </si>
  <si>
    <t xml:space="preserve"> within &amp; 0.031 &amp; 0.026 &amp; 0.014 &amp; 0 &amp; 0 &amp; 0 \\</t>
  </si>
  <si>
    <t xml:space="preserve"> between &amp; 0.029 &amp; 0.043 &amp; 0.361 &amp; 0 &amp; 0 &amp; 0 \\</t>
  </si>
  <si>
    <t xml:space="preserve"> overall &amp; 0.023 &amp; 0.032 &amp; 0.334 &amp; 0 &amp; 0 &amp; 0 \\</t>
  </si>
  <si>
    <t xml:space="preserve"> Number of obs &amp; 296 &amp; 294 &amp; 294 &amp; 296 &amp; 294 &amp; 294 \\</t>
  </si>
  <si>
    <t xml:space="preserve"> Number of groups  &amp; 165 &amp; 163 &amp; 163 &amp; 0 &amp; 0 &amp; 0 \\</t>
  </si>
  <si>
    <t>ShadowR &amp; 0.754 &amp; 0.662 &amp; 0.526 &amp; 6.391 &amp; 6.087 &amp; 3.289 \\</t>
  </si>
  <si>
    <t xml:space="preserve"> &amp;  (0.293) \ast \ast  &amp;  (0.293) \ast \ast  &amp;  (0.286) \ast  &amp;  (3.193) \ast \ast  &amp;  (3.116) \ast  &amp;  (3.141)  \\</t>
  </si>
  <si>
    <t xml:space="preserve"> within &amp; 0.029 &amp; 0.055 &amp; 0.055 &amp; 0 &amp; 0 &amp; 0 \\</t>
  </si>
  <si>
    <t>Table 9. Relation Between CF Diversion Measures and Reported Sales Margin</t>
  </si>
  <si>
    <t xml:space="preserve"> between &amp; 0.021 &amp; 0.038 &amp; 0.36 &amp; 0 &amp; 0 &amp; 0 \\</t>
  </si>
  <si>
    <t xml:space="preserve"> overall &amp; 0.02 &amp; 0.029 &amp; 0.352 &amp; 0 &amp; 0 &amp; 0 \\</t>
  </si>
  <si>
    <t xml:space="preserve"> Number of obs &amp; 277 &amp; 277 &amp; 277 &amp; 277 &amp; 277 &amp; 277 \\</t>
  </si>
  <si>
    <t xml:space="preserve"> Number of groups  &amp; 153 &amp; 153 &amp; 153 &amp; 0 &amp; 0 &amp; 0 \\</t>
  </si>
  <si>
    <t xml:space="preserve"> &amp; Open JSC &amp;  &amp;  &amp; Closed JSC and Partnerships &amp;  &amp;  \\</t>
  </si>
  <si>
    <t>ShadowEBITDA &amp; 0.026 &amp; &amp; &amp; -0.003 &amp; &amp; \\</t>
  </si>
  <si>
    <t xml:space="preserve"> &amp;  (0.012) \ast \ast  &amp; &amp; &amp;  (0.01)  &amp; &amp; \\</t>
  </si>
  <si>
    <t>ShadowR &amp; &amp; 0.217 &amp; &amp; &amp; 0.104 &amp; \\</t>
  </si>
  <si>
    <t xml:space="preserve"> &amp; &amp;  (0.08) \ast \ast \ast  &amp; &amp; &amp;  (0.081)  &amp; \\</t>
  </si>
  <si>
    <t>ShadowA &amp; &amp; &amp; 0.149 &amp; &amp; &amp; 0.047 \\</t>
  </si>
  <si>
    <t xml:space="preserve"> &amp; &amp; &amp;  (0.072) \ast \ast  &amp; &amp; &amp;  (0.065)  \\</t>
  </si>
  <si>
    <t xml:space="preserve"> within &amp; 0.08 &amp; 0.057 &amp; 0.059 &amp; 0.017 &amp; 0.016 &amp; 0.006 \\</t>
  </si>
  <si>
    <t xml:space="preserve"> between &amp; 0.12 &amp; 0.121 &amp; 0.118 &amp; 0.094 &amp; 0.098 &amp; 0.095 \\</t>
  </si>
  <si>
    <t xml:space="preserve"> overall &amp; 0.114 &amp; 0.115 &amp; 0.112 &amp; 0.08 &amp; 0.083 &amp; 0.08 \\</t>
  </si>
  <si>
    <t xml:space="preserve"> Number of obs &amp; 3927 &amp; 3862 &amp; 3770 &amp; 4537 &amp; 4357 &amp; 4059 \\</t>
  </si>
  <si>
    <t xml:space="preserve"> Number of groups  &amp; 2282 &amp; 2266 &amp; 2232 &amp; 2658 &amp; 2596 &amp; 2465 \\</t>
  </si>
  <si>
    <t xml:space="preserve"> Mean gross tax rate, \%  &amp; 6.70 &amp; 8.07 &amp; 5.87 &amp; 13.68 &amp; 12.91 &amp; 0.01 \\</t>
  </si>
  <si>
    <t xml:space="preserve"> \hline</t>
  </si>
  <si>
    <t xml:space="preserve">\end{tabular} </t>
  </si>
  <si>
    <t>\&lt;sum\_p</t>
  </si>
  <si>
    <t>&gt;sum\_p</t>
  </si>
  <si>
    <t xml:space="preserve"> &amp;  &amp;  sum\_r  &amp;  sum\_r  &amp;  &amp;  sum\_r  &amp;  men \\</t>
  </si>
  <si>
    <t xml:space="preserve"> &amp;  &amp;  \&lt;sum\_p &amp;  &gt;sum\_p &amp;  &amp;  &gt;sum\_p &amp;  \\</t>
  </si>
  <si>
    <t>sum\_r\&lt;</t>
  </si>
  <si>
    <t>sum\_r&gt;</t>
  </si>
  <si>
    <t>0.1\%\&lt;t\&lt;1\%</t>
  </si>
  <si>
    <t>\begin{tabular}{lccccc}</t>
  </si>
  <si>
    <t xml:space="preserve"> &amp;  &amp;  Selection by net tax rate &amp;  &amp;  Selection by gross tax rate  &amp;  \\</t>
  </si>
  <si>
    <t xml:space="preserve"> &amp;  Tax=0 &amp;  0\&lt;t\&lt;0.1\% &amp;  0.1\%\&lt;t\&lt;1\% &amp;  0\&lt;t\&lt;0.1\% &amp;  0.1\%\&lt;t\&lt;1\% \\</t>
  </si>
  <si>
    <t xml:space="preserve"> Variable &amp;  (1) &amp;  (2) &amp;  (3) &amp;  (4) &amp;  (5) \\</t>
  </si>
  <si>
    <t xml:space="preserve"> N &amp; 28,153 &amp; 14,330 &amp; 9,297 &amp; 18,004 &amp; 10,835 \\</t>
  </si>
  <si>
    <t xml:space="preserve"> \% presented before 1.20.03  &amp; 13 &amp; 29 &amp; 33 &amp; 29 &amp; 33 \\</t>
  </si>
  <si>
    <t xml:space="preserve"> \% presented after 12.15.04 &amp; 51 &amp; 54 &amp; 57 &amp; 55 &amp; 57 \\</t>
  </si>
  <si>
    <t xml:space="preserve"> \% b. 1.20.03 \&amp; af. 12.15.04 &amp; 4 &amp; 8 &amp; 12 &amp; 8 &amp; 13 \\</t>
  </si>
  <si>
    <t xml:space="preserve"> Mean age, calendar days &amp; 382 &amp; 408 &amp; 448 &amp; 408 &amp; 450 \\</t>
  </si>
  <si>
    <t xml:space="preserve"> Mean N of trans per month &amp; 12 &amp; 50 &amp; 49 &amp; 51 &amp; 47 \\</t>
  </si>
  <si>
    <t xml:space="preserve"> Mean funds rec. per month, \$ &amp; 231,724 &amp; 946,461 &amp; 400,240 &amp; 837,057 &amp; 354,553 \\</t>
  </si>
  <si>
    <t xml:space="preserve"> Mean funds paid per month, \$ &amp; 90,467 &amp; 322,462 &amp; 210,226 &amp; 344,744 &amp; 176,451 \\</t>
  </si>
  <si>
    <t xml:space="preserve"> Mean tax paid per month, \$ &amp; 0 &amp; 77 &amp; 681 &amp; 84 &amp; 955 \\</t>
  </si>
  <si>
    <t xml:space="preserve"> Mean ESN paid per month, \$ &amp; 0 &amp; 1 &amp; 1 &amp; 1 &amp; 1 \\</t>
  </si>
  <si>
    <t xml:space="preserve"> Mean gross tax rate, \%  &amp; 0 &amp; 0 &amp; 0 &amp; 0 &amp; 0 \\</t>
  </si>
  <si>
    <t>\begin{tabular}{lcccc}</t>
  </si>
  <si>
    <t xml:space="preserve"> &amp;  Regular &amp;  &amp;  Spacemen &amp;  \\</t>
  </si>
  <si>
    <t xml:space="preserve"> Variable &amp;  2003 &amp;  2004 &amp;  2003 &amp;  2004 \\</t>
  </si>
  <si>
    <t xml:space="preserve"> N of obs &amp; 500 &amp; 500 &amp; 500 &amp; 500 \\</t>
  </si>
  <si>
    <t xml:space="preserve"> N of obs &amp; 281 &amp; 133 &amp; 37 &amp; 60 \\</t>
  </si>
  <si>
    <t xml:space="preserve"> Revenue\_B, th. \$ &amp; 808 &amp; 748 &amp; 946 &amp; 2,107 \\</t>
  </si>
  <si>
    <t xml:space="preserve"> N of obs &amp; 411 &amp; 452 &amp; 323 &amp; 454 \\</t>
  </si>
  <si>
    <t xml:space="preserve"> N of obs &amp; 325 &amp; 315 &amp; 179 &amp; 188 \\</t>
  </si>
  <si>
    <t xml:space="preserve"> Revenue, th. \$ &amp; 866 &amp; 950 &amp; 1,031 &amp; 1,341 \\</t>
  </si>
  <si>
    <t xml:space="preserve"> N of obs &amp; 317 &amp; 309 &amp; 178 &amp; 186 \\</t>
  </si>
  <si>
    <t xml:space="preserve"> N of obs &amp; 244 &amp; 234 &amp; 130 &amp; 139 \\</t>
  </si>
  <si>
    <t xml:space="preserve"> N of obs &amp; 278 &amp; 132 &amp; 34 &amp; 59 \\</t>
  </si>
  <si>
    <t xml:space="preserve"> Correlations &amp;  &amp;  &amp;  &amp;  \\</t>
  </si>
  <si>
    <t xml:space="preserve"> N of obs &amp; 309 &amp; 292 &amp; 160 &amp; 178 \\</t>
  </si>
  <si>
    <t xml:space="preserve"> Age &amp; 4.04 &amp; 4.04 &amp; 2.16 &amp; 2.16 \\</t>
  </si>
  <si>
    <t xml:space="preserve"> Profit\_B, th. \$ &amp; 35.4 &amp; 36.1 &amp; 0.4 &amp; 0.7 \\</t>
  </si>
  <si>
    <t xml:space="preserve"> Profit, th. \$ &amp; 25.8 &amp; 35.0 &amp; 29.4 &amp; 27.3 \\</t>
  </si>
  <si>
    <t xml:space="preserve"> Margin &amp; 6.4 &amp; 6.6 &amp; 6.2 &amp; 7.0 \\</t>
  </si>
  <si>
    <t xml:space="preserve"> Margin\_B &amp; 5.6 &amp; 4.8 &amp; 0.1 &amp; 0.3 \\</t>
  </si>
  <si>
    <t xml:space="preserve"> \% \|Log(Rev)-Log(Rev\_B)\|\&lt;0.1 &amp; 25.6 &amp; 26.5 &amp; 1.7 &amp; 4.3 \\</t>
  </si>
  <si>
    <t xml:space="preserve"> \% \|Log(Rev)-Log(Rev\_B)\|\&lt;0.5 &amp; 69.1 &amp; 60.5 &amp; 7.3 &amp; 18.8 \\</t>
  </si>
  <si>
    <t xml:space="preserve"> Log(Rev), Log(Rev\_B) &amp; 0.76 &amp; 0.56 &amp; -0.03 &amp; -0.04 \\</t>
  </si>
  <si>
    <t xml:space="preserve"> Margin, Margin\_B &amp; 0.66 &amp; 0.49 &amp; 0.04 &amp; 0.31 \\</t>
  </si>
  <si>
    <t xml:space="preserve"> N of obs &amp; 199 &amp; 85 &amp; 15 &amp; 27 \\</t>
  </si>
  <si>
    <t>(RAS)</t>
  </si>
  <si>
    <t xml:space="preserve">RAS only </t>
  </si>
  <si>
    <t xml:space="preserve">GAAP/IAS only </t>
  </si>
  <si>
    <t>(GAAP/IAS)</t>
  </si>
  <si>
    <t xml:space="preserve"> &amp;  All (RAS) &amp;  RAS only  &amp;  GAAP/IAS only  &amp;  GAAP/IAS only  \\</t>
  </si>
  <si>
    <t xml:space="preserve"> &amp;  (RAS) &amp;  (RAS) &amp;  (RAS) &amp;  (GAAP/IAS) \\</t>
  </si>
  <si>
    <t xml:space="preserve"> Variable &amp;  (1) &amp;  (2) &amp;  (3) &amp;  (4) \\</t>
  </si>
  <si>
    <t xml:space="preserve"> Assets, mln. \$ &amp; 1,780 &amp; 551 &amp; 5,063 &amp; 6,713 \\</t>
  </si>
  <si>
    <t xml:space="preserve"> Revenue, mln. \$ &amp; 885 &amp; 307 &amp; 2,422 &amp; 3,880 \\</t>
  </si>
  <si>
    <t xml:space="preserve"> Profit, mln. \$ &amp; 187.7 &amp; 62.2 &amp; 519.7 &amp; 810.3 \\</t>
  </si>
  <si>
    <t xml:space="preserve"> Debt/assets, \% &amp; 21.87 &amp; 21.96 &amp; 22.96 &amp; 19.17 \\</t>
  </si>
  <si>
    <t xml:space="preserve"> Sales margin , \% &amp; 12.17 &amp; 7.90 &amp; 20.73 &amp; 16.17 \\</t>
  </si>
  <si>
    <t xml:space="preserve"> ShadowP, \% &amp; 19.35 &amp; 21.23 &amp; 17.15 &amp; 14.04 \\</t>
  </si>
  <si>
    <t xml:space="preserve"> ShadowA, \% &amp; 1.69 &amp; 1.80 &amp; 1.42 &amp; 1.09 \\</t>
  </si>
  <si>
    <t xml:space="preserve"> ShadowR, \% &amp; 1.86 &amp; 1.92 &amp; 1.66 &amp; 1.40 \\</t>
  </si>
  <si>
    <t xml:space="preserve"> Share of government &amp; 11.27 &amp; 9.13 &amp; 16.66 &amp;  \\</t>
  </si>
  <si>
    <t xml:space="preserve"> Government control &amp; 40.50 &amp; 36.03 &amp; 50.00 &amp;  \\</t>
  </si>
  <si>
    <t xml:space="preserve"> Share of largest ind, not CEO &amp; 3.23 &amp; 2.25 &amp; 6.66 &amp;  \\</t>
  </si>
  <si>
    <t xml:space="preserve"> Share of CEO &amp; 1.44 &amp; 1.33 &amp; 2.44 &amp;  \\</t>
  </si>
  <si>
    <t xml:space="preserve"> CEO in board &amp; 79.44 &amp; 78.83 &amp; 81.63 &amp;  \\</t>
  </si>
  <si>
    <t xml:space="preserve"> Foreinger on board &amp; 18.06 &amp; 11.31 &amp; 41.84 &amp;  \\</t>
  </si>
  <si>
    <t xml:space="preserve"> Credit raiting &amp; 13.61 &amp; 2.92 &amp; 44.90 &amp;  \\</t>
  </si>
  <si>
    <t xml:space="preserve"> Traded on RTS or Micex &amp; 61.39 &amp; 56.57 &amp; 77.55 &amp;  \\</t>
  </si>
  <si>
    <t xml:space="preserve"> ADR &amp; 10.56 &amp; 4.38 &amp; 31.63 &amp;  \\</t>
  </si>
  <si>
    <t xml:space="preserve"> Audit by Big 4 &amp; 21.67 &amp; 13.50 &amp; 44.90 &amp;  \\</t>
  </si>
  <si>
    <t xml:space="preserve"> Big (assets &gt; \$100 million), \% &amp; 69.44 &amp; 63.14 &amp; 90.82 &amp;  \\</t>
  </si>
  <si>
    <t xml:space="preserve"> N of obs &amp; 180 &amp; 137 &amp; 49 &amp; 49 \\</t>
  </si>
  <si>
    <t>\% \|Log(Rev)-Log(Rev\_B)\|\&lt;0.1</t>
  </si>
  <si>
    <t>\% \|Log(Rev)-Log(Rev\_B)\|\&lt;0.5</t>
  </si>
  <si>
    <t>Table 5. Summary Statistics for the Main Sample</t>
  </si>
  <si>
    <t>Sibneft</t>
  </si>
  <si>
    <t>Dependent variable</t>
  </si>
  <si>
    <t>Sales Margin</t>
  </si>
  <si>
    <t>Table 11. Income Diversion and Capital Structure</t>
  </si>
  <si>
    <t>Table 11a. Income Diversion and Capital Structure</t>
  </si>
  <si>
    <t>Table 11b. Income Diversion and Capital Structure</t>
  </si>
  <si>
    <t>Table 12. Income Diversion and Capital Structure, AK&amp;M Sample</t>
  </si>
  <si>
    <t>Энергосинтез-М, ООО</t>
  </si>
  <si>
    <t>ООО "НИКОЛЬ-ТРЭЙД"</t>
  </si>
  <si>
    <t>ООО "НИКОЛЬ-ОПТИМА''</t>
  </si>
  <si>
    <t>ООО "МСК Стройсофт"</t>
  </si>
  <si>
    <t>ООО "АЛЬФАЦЕНТР"</t>
  </si>
  <si>
    <t>ООО ГЛОБАЛ КЛАССИК</t>
  </si>
  <si>
    <t>ООО "НЭЙВОЛ"</t>
  </si>
  <si>
    <t>ООО ОЙЛОПТИМУМ</t>
  </si>
  <si>
    <t>ООО МИРИНТОРГ</t>
  </si>
  <si>
    <t>ООО "ЛИКОРСТРОЙ"</t>
  </si>
  <si>
    <t>ООО "ЮПИТЕКС"</t>
  </si>
  <si>
    <t>ООО "СВЯЗЬСИТИ"</t>
  </si>
  <si>
    <t>ООО "Эгоник"</t>
  </si>
  <si>
    <t>ООО ФАБЕР СТРОЙИНВЕСТ</t>
  </si>
  <si>
    <t>Т.К.Разноторг ООО</t>
  </si>
  <si>
    <t>КПП771401001 ООО "ГРАНД ЭЛИТ"</t>
  </si>
  <si>
    <t>ЗАО "ДАГВЕСТ"</t>
  </si>
  <si>
    <t>ООО "ВнешИмпорт"</t>
  </si>
  <si>
    <t>ООО "Транскабельмет"</t>
  </si>
  <si>
    <t>ООО "Компания АСТЭЛЬ"</t>
  </si>
  <si>
    <t>КПП770501001 ООО "САТУРН-ГРУПП"</t>
  </si>
  <si>
    <t>ООО "ВАРЛОУ"</t>
  </si>
  <si>
    <t>ООО "Фобос Секьюритиз"</t>
  </si>
  <si>
    <t>КПП744501001 ЗАО "А-КАПИТАЛ"</t>
  </si>
  <si>
    <t>ООО "НПК ПРОМСЕРВИС"</t>
  </si>
  <si>
    <t>ООО "КАНТРИ ЮНИКС"</t>
  </si>
  <si>
    <t>ООО"ПоставкаИмпорт"</t>
  </si>
  <si>
    <t>ООО "ТалайнЦентрГрупп"</t>
  </si>
  <si>
    <t>КПП 770901001 ООО "Степс центр"</t>
  </si>
  <si>
    <t>ООО "РАСКИТ"</t>
  </si>
  <si>
    <t>ООО"Стройтек"</t>
  </si>
  <si>
    <t>КПП 770901001 ООО "МЕГА-СТРОЙ"</t>
  </si>
  <si>
    <t>ЗАО "АТЛАНТ"</t>
  </si>
  <si>
    <t>КПП 770101001 ООО "Пилот Консалтинг"</t>
  </si>
  <si>
    <t>ООО "Диатонторг"</t>
  </si>
  <si>
    <t>ООО "Прайд"</t>
  </si>
  <si>
    <t>ООО "ВОЛТЕКС"</t>
  </si>
  <si>
    <t>ООО "Экотрейд"</t>
  </si>
  <si>
    <t>ООО "ЛАЙНБИЗНЕС"</t>
  </si>
  <si>
    <t>ООО "МАГНА"</t>
  </si>
  <si>
    <t>ЗАО "Антарекс Груп"</t>
  </si>
  <si>
    <t>ООО "ИНВЕСТ-ОЙЛ"</t>
  </si>
  <si>
    <t>ЗАО "НВФБ"</t>
  </si>
  <si>
    <t>САНТА ООО</t>
  </si>
  <si>
    <t>ЭДВИС ООО</t>
  </si>
  <si>
    <t>ООО "Белрегионгаз" КПП 312301001</t>
  </si>
  <si>
    <t>ООО " Тэйн"</t>
  </si>
  <si>
    <t>ООО "СН-СТЭЙТ"</t>
  </si>
  <si>
    <t>ЗАО"Энергонефтересурс"</t>
  </si>
  <si>
    <t>ООО "Энергофинторг"</t>
  </si>
  <si>
    <t>ООО "ТК-Трейдинг"</t>
  </si>
  <si>
    <t>ООО 'КВИНТА'</t>
  </si>
  <si>
    <t>ООО "Лионеса"</t>
  </si>
  <si>
    <t>ООО "Компани Деко"</t>
  </si>
  <si>
    <t>ООО "ЭЛИТ КОМПАНИ"</t>
  </si>
  <si>
    <t>ООО "ОКСИГАЗИМПЭКС"</t>
  </si>
  <si>
    <t>БАРТОН ЗАО</t>
  </si>
  <si>
    <t>АРЕКОН ООО</t>
  </si>
  <si>
    <t>ООО "ИМАРК"</t>
  </si>
  <si>
    <t>ООО "Гамма"</t>
  </si>
  <si>
    <t>ООО "ИНТЕР"</t>
  </si>
  <si>
    <t>ООО "ДИОНИС"</t>
  </si>
  <si>
    <t>ООО "Фарком"</t>
  </si>
  <si>
    <t>ООО "Мегаполис"</t>
  </si>
  <si>
    <t>ООО 'Металл Инвест'</t>
  </si>
  <si>
    <t>ООО "Металлснаб Конструкция"</t>
  </si>
  <si>
    <t>ООО "Партнер"</t>
  </si>
  <si>
    <t>ООО "Восток"</t>
  </si>
  <si>
    <t>ООО "Аврора"</t>
  </si>
  <si>
    <t>ООО "Экспоцентр"</t>
  </si>
  <si>
    <t>ООО "Венера"</t>
  </si>
  <si>
    <t>ООО "Меркурий"</t>
  </si>
  <si>
    <t>ООО "Престиж"</t>
  </si>
  <si>
    <t>ООО "Крона"</t>
  </si>
  <si>
    <t>ООО"Ювелир Трейд"</t>
  </si>
  <si>
    <t>ООО "ЭкспоТехноСтрой"</t>
  </si>
  <si>
    <t>ООО "Ивановский Ювелир"</t>
  </si>
  <si>
    <t>ООО "ФОРУМ"</t>
  </si>
  <si>
    <t>ООО "Паритет"</t>
  </si>
  <si>
    <t>ООО "ИМПУЛЬС"</t>
  </si>
  <si>
    <t>ООО "Санекс"</t>
  </si>
  <si>
    <t>ООО "КреативЛюкс"</t>
  </si>
  <si>
    <t>ООО "Техликон"</t>
  </si>
  <si>
    <t>ООО "Аспект"</t>
  </si>
  <si>
    <t>ООО "Лэйк Интер"</t>
  </si>
  <si>
    <t>КПП 502401001 ЗАО "Нордикс"</t>
  </si>
  <si>
    <t>ООО "ПРОСТОР"</t>
  </si>
  <si>
    <t>ООО ИСТОК</t>
  </si>
  <si>
    <t>ОБЩЕСТВО С ОГРАНИЧЕННОЙ ОТВЕТСТВЕННОСТЬЮ ФИРМА "ГАЗИНВЕСТ"</t>
  </si>
  <si>
    <t>ООО "ФОРТУНА"</t>
  </si>
  <si>
    <t>ООО "УниверсалСтрой"</t>
  </si>
  <si>
    <t>ООО"Сибгалс"</t>
  </si>
  <si>
    <t>ООО "Лига"</t>
  </si>
  <si>
    <t>ООО "Сервис-Юг"</t>
  </si>
  <si>
    <t>ООО "Ультра"</t>
  </si>
  <si>
    <t>ООО "ВегаСтиль"</t>
  </si>
  <si>
    <t>ООО "Стройпрогресс"</t>
  </si>
  <si>
    <t>ООО ДЕЛЬТА</t>
  </si>
  <si>
    <t>ООО "Олимп"</t>
  </si>
  <si>
    <t>ООО "Стимул"</t>
  </si>
  <si>
    <t>ООО "Брион-Инвест"</t>
  </si>
  <si>
    <t>ООО "Стройкомплекс"</t>
  </si>
  <si>
    <t>ООО "АЛЬМИРА"</t>
  </si>
  <si>
    <t>ООО "СтайлТорг"</t>
  </si>
  <si>
    <t>ООО "Инфотех"</t>
  </si>
  <si>
    <t>ООО "МИРАЖ"</t>
  </si>
  <si>
    <t>ООО "СВЯЗЬ-ИНВЕСТ-М"</t>
  </si>
  <si>
    <t>ООО компания "Амстердам моторз"</t>
  </si>
  <si>
    <t>ООО "Тандем Ресурс" г.Москва</t>
  </si>
  <si>
    <t>ООО "КОНТИОР"</t>
  </si>
  <si>
    <t>ООО ПФК"Джерид"</t>
  </si>
  <si>
    <t>ООО "АЛЬБЕРТИНАСТРОЙКОМПАНИ"</t>
  </si>
  <si>
    <t>ООО "МАРИОНТРЕЙД"</t>
  </si>
  <si>
    <t>ООО "ВестСтрой"</t>
  </si>
  <si>
    <t>ООО "ТК Батист"</t>
  </si>
  <si>
    <t>ООО "ТЕХНОКОМ"</t>
  </si>
  <si>
    <t>ООО "ИмпортТоргСбыт"</t>
  </si>
  <si>
    <t>ООО "Машпромресурс"</t>
  </si>
  <si>
    <t>ООО " Дерикон"</t>
  </si>
  <si>
    <t>ООО "Связьсервис 2000"</t>
  </si>
  <si>
    <t>ООО "Интеркастом-С"</t>
  </si>
  <si>
    <t>ООО "ИнвестТрастКом"</t>
  </si>
  <si>
    <t>ООО "ФорейнТрейд"</t>
  </si>
  <si>
    <t>КПП 770501001 ООО"Блейтс-компани"</t>
  </si>
  <si>
    <t>ООО "МАКСПРОМТРЕЙД"</t>
  </si>
  <si>
    <t>ООО "СТРОЙСПЕЦМОНТАЖ"</t>
  </si>
  <si>
    <t>КПП 770501001 ООО"САГДАС ИНФОРМ"</t>
  </si>
  <si>
    <t>ООО "МОСТАР ТРЕЙД" КПП 770501001</t>
  </si>
  <si>
    <t>КПП 770501001 ООО "МПК-ТРАНС"</t>
  </si>
  <si>
    <t>ООО "ТоргСервис"</t>
  </si>
  <si>
    <t>ООО "Гермес"</t>
  </si>
  <si>
    <t>ООО "АЛЬЯНС СЕРВИС"</t>
  </si>
  <si>
    <t>ООО "ФИНМАРКЕТ"</t>
  </si>
  <si>
    <t>ООО ВЕСТА</t>
  </si>
  <si>
    <t>ООО "Имари"</t>
  </si>
  <si>
    <t>ООО "ЛОРАН"</t>
  </si>
  <si>
    <t>ООО "Сонекс"</t>
  </si>
  <si>
    <t>КПП770201001 ООО "Финплат"</t>
  </si>
  <si>
    <t>ООО "Восток-Запад"</t>
  </si>
  <si>
    <t>КПП 770201001 ООО "СПЕКТР"</t>
  </si>
  <si>
    <t>ООО "Даркас Мастер"</t>
  </si>
  <si>
    <t>ООО "ПК-Проф"</t>
  </si>
  <si>
    <t>ООО "АрсеналАвто"</t>
  </si>
  <si>
    <t>ООО 'ТЕХКОМИНТЕЛ'</t>
  </si>
  <si>
    <t>ООО "АРТ Информтекс"</t>
  </si>
  <si>
    <t>ООО"Медиа-центр"</t>
  </si>
  <si>
    <t>ООО "Интер Гарант"</t>
  </si>
  <si>
    <t>ООО"Группа Альянс"</t>
  </si>
  <si>
    <t>ООО "Медиа-Альянс"</t>
  </si>
  <si>
    <t>ООО "БэлСтар"</t>
  </si>
  <si>
    <t>ООО "ЛЮКС-КАСКАД"</t>
  </si>
  <si>
    <t>ООО СТРОЙМОНОЛИТ</t>
  </si>
  <si>
    <t>ООО"РосПроект"</t>
  </si>
  <si>
    <t>Table 5. Sensitivity of Spacemen's Characteristics to Selection Criteria</t>
  </si>
  <si>
    <t>Table 6. Summary Statistics of the Cash Flow Diversion Measures</t>
  </si>
  <si>
    <t>Table 7. Cash Flow Diversion Using "Spacemen" in Top Russian Companies (Top 20)</t>
  </si>
  <si>
    <t>Table 7a. Cash Flow Diversion Measures for Top Russian Companies, RAS</t>
  </si>
  <si>
    <t>Table 7b. Cash Flow Diversion Measures for Top Russian Companies, GAAP/IAS</t>
  </si>
  <si>
    <t>ООО 'Синетекс'</t>
  </si>
  <si>
    <t>ООО "Меджиктаун"</t>
  </si>
  <si>
    <t>ООО "ЭКОГАРАНТ"</t>
  </si>
  <si>
    <t>ООО "ОптТоргСистем"</t>
  </si>
  <si>
    <t xml:space="preserve">All, </t>
  </si>
  <si>
    <t>GAAP</t>
  </si>
  <si>
    <t>N of obs</t>
  </si>
  <si>
    <t>Share of government</t>
  </si>
  <si>
    <t>Government control</t>
  </si>
  <si>
    <t>CEO in board</t>
  </si>
  <si>
    <t>Foreinger on board</t>
  </si>
  <si>
    <t>Assets, mln. \$</t>
  </si>
  <si>
    <t>Revenue, mln. \$</t>
  </si>
  <si>
    <t>Profit, mln. \$</t>
  </si>
  <si>
    <t>ShadowP, \%</t>
  </si>
  <si>
    <t>ShadowA, \%</t>
  </si>
  <si>
    <t>ShadowR, \%</t>
  </si>
  <si>
    <t>Credit raiting</t>
  </si>
  <si>
    <t>Traded on RTS or Micex</t>
  </si>
  <si>
    <t>ADR</t>
  </si>
  <si>
    <t>Audit by Big 4</t>
  </si>
  <si>
    <t>Debt/assets, \%</t>
  </si>
  <si>
    <t>Sales margin , \%</t>
  </si>
  <si>
    <t>Share of CEO</t>
  </si>
  <si>
    <t>ООО "Толлиан сервис"</t>
  </si>
  <si>
    <t>ООО "ЭНЕРГОТЕХСТРОЙГРУПП"</t>
  </si>
  <si>
    <t>ООО "Каскад Вест"</t>
  </si>
  <si>
    <t>ООО"Торговый дом"ХОЛЛАНД"</t>
  </si>
  <si>
    <t>ООО "СЕЛЕНИЯ"</t>
  </si>
  <si>
    <t>ООО "ГАЛЬЯРДО"</t>
  </si>
  <si>
    <t>ООО"ЭНЕРГОТЕХСТРОЙ" г.Москва</t>
  </si>
  <si>
    <t>ООО "СТРОЙСНАБ"</t>
  </si>
  <si>
    <t>ООО ВАЛИАНТ</t>
  </si>
  <si>
    <t>ООО "Хай-Тек технолоджи"</t>
  </si>
  <si>
    <t>ООО "Фармтехнолоджи"</t>
  </si>
  <si>
    <t>ООО "ДЕКОДАНС"</t>
  </si>
  <si>
    <t>ООО "ИнтерМедиаГрупп"</t>
  </si>
  <si>
    <t>ООО "Перспектива"</t>
  </si>
  <si>
    <t>ООО "Объединенная Промышленная Компания"</t>
  </si>
  <si>
    <t>ООО "Техальянс"</t>
  </si>
  <si>
    <t>ООО "Юником Трейдинг"</t>
  </si>
  <si>
    <t>ООО "Тальвег"</t>
  </si>
  <si>
    <t>ООО "Инвест-Финанс"</t>
  </si>
  <si>
    <t>ООО "Униторг"</t>
  </si>
  <si>
    <t>ООО "Политон"</t>
  </si>
  <si>
    <t>ООО &lt;ГарантНовация&gt;</t>
  </si>
  <si>
    <t>ООО "ДиалогГрупп"</t>
  </si>
  <si>
    <t>ООО ИНТЕРГАЗ"</t>
  </si>
  <si>
    <t>ООО "ИНВЕСТСТРОЙ"</t>
  </si>
  <si>
    <t>KPP 770601001 ООО "Компания "ТРИАДА"</t>
  </si>
  <si>
    <t>Бонус ООО</t>
  </si>
  <si>
    <t>ООО "Вилсон"</t>
  </si>
  <si>
    <t>ООО "Лира"</t>
  </si>
  <si>
    <t>ООО"Стэлз"</t>
  </si>
  <si>
    <t>ООО "ВЕЛЕС"</t>
  </si>
  <si>
    <t>КПП 771001001 ООО"Виллайт"</t>
  </si>
  <si>
    <t>ООО "ИнвестДельта"</t>
  </si>
  <si>
    <t>ООО"КАСЛЕР"</t>
  </si>
  <si>
    <t>ООО "Ньюстройпром"</t>
  </si>
  <si>
    <t>ООО"Панателла"</t>
  </si>
  <si>
    <t>ООО "РУСЛЕСОТОРГ"</t>
  </si>
  <si>
    <t>ООО"Лайтекс Сервис"</t>
  </si>
  <si>
    <t>ООО "Тайметл"</t>
  </si>
  <si>
    <t>ООО "ИМПЕКС"</t>
  </si>
  <si>
    <t>ООО ОЛИМПИЯ</t>
  </si>
  <si>
    <t>Общество с ограниченной ответственностью Торговый центр "Александрит"</t>
  </si>
  <si>
    <t>ООО "Поланд"</t>
  </si>
  <si>
    <t>ООО "Труман"</t>
  </si>
  <si>
    <t>ООО "ИНТЕРСОВИНВЕСТ"</t>
  </si>
  <si>
    <t>ООО 'Данесия'</t>
  </si>
  <si>
    <t>ООО "АТОНА ЛЮКС"</t>
  </si>
  <si>
    <t>ООО "РЕДИЛОКС"</t>
  </si>
  <si>
    <t>ООО "ЭлексИнвест групп"</t>
  </si>
  <si>
    <t>ООО "ИнтерФинанс"</t>
  </si>
  <si>
    <t>ООО "БизнесТемп"</t>
  </si>
  <si>
    <t>ООО "РЕАЛПРОМСТИЛЬ"</t>
  </si>
  <si>
    <t>КПП 771001001 ООО "КаскадТрейд"</t>
  </si>
  <si>
    <t>ООО "СТРОИТЕЛЬНАЯ КОМПАНИЯ "ХИМИНВЕСТ"</t>
  </si>
  <si>
    <t>ООО "ДЖЕФФ"</t>
  </si>
  <si>
    <t>КПП 770701001 ООО "Кокс импэкс"</t>
  </si>
  <si>
    <t>ООО "АЛЬЯНС"</t>
  </si>
  <si>
    <t>ООО "Антарес"</t>
  </si>
  <si>
    <t>ООО "Амекс"</t>
  </si>
  <si>
    <t>ООО "Адамант"</t>
  </si>
  <si>
    <t>ООО "СПЕЦАВТОТРАНС"</t>
  </si>
  <si>
    <t>ООО "ФАРМОТЕКС"</t>
  </si>
  <si>
    <t>ООО "ВИЛЕКС"</t>
  </si>
  <si>
    <t>ООО "АЛЬФА сервис"</t>
  </si>
  <si>
    <t>ООО "КОМСТАР"</t>
  </si>
  <si>
    <t>ООО "СтеллаГрант"</t>
  </si>
  <si>
    <t>ООО "КВАЗАР"</t>
  </si>
  <si>
    <t>ООО "Химнефтепром"</t>
  </si>
  <si>
    <t>ООО "Прессмаш"</t>
  </si>
  <si>
    <t>ООО "Цетан"</t>
  </si>
  <si>
    <t>ООО ГРАНТ</t>
  </si>
  <si>
    <t>ООО"ПРОМЭНЕРГОРЕСУРС"</t>
  </si>
  <si>
    <t>ООО "Олагир"</t>
  </si>
  <si>
    <t>КПП771301001 ООО ПромХимКомплект</t>
  </si>
  <si>
    <t>ООО "МЕДСЕРВИС"</t>
  </si>
  <si>
    <t>РАУХ ТОПАЗ ООО</t>
  </si>
  <si>
    <t>ООО "Инвест-Проект"</t>
  </si>
  <si>
    <t>ООО "ГЛОБАЛ МАРКЕТ"</t>
  </si>
  <si>
    <t>ООО "ИнфоСервис"</t>
  </si>
  <si>
    <t>ООО "НОРДЕН"</t>
  </si>
  <si>
    <t>ООО "Невада"</t>
  </si>
  <si>
    <t>ООО Компания "РусИнтерСервис"</t>
  </si>
  <si>
    <t>ООО "АцтекИнвест"</t>
  </si>
  <si>
    <t>ООО "СпектрКом"</t>
  </si>
  <si>
    <t>ЗАО "РИЭД-ЛЮКС"</t>
  </si>
  <si>
    <t>ООО "Опттранспоставка"</t>
  </si>
  <si>
    <t>ООО'ВИКТРАН'</t>
  </si>
  <si>
    <t>ООО "Локрида"</t>
  </si>
  <si>
    <t>ООО Ойлстандарт</t>
  </si>
  <si>
    <t>ООО "ДЕКАТА"</t>
  </si>
  <si>
    <t>ООО "Неодал"</t>
  </si>
  <si>
    <t>ООО"ОМГАТЕХНИКС"</t>
  </si>
  <si>
    <t>Континент Груп ООО</t>
  </si>
  <si>
    <t>/771401001 ООО "ПРОФИТРЭЙД"</t>
  </si>
  <si>
    <t>ООО "СОФТМАРКЕТ"</t>
  </si>
  <si>
    <t>c13</t>
  </si>
  <si>
    <t>c14</t>
  </si>
  <si>
    <t>c15</t>
  </si>
  <si>
    <t>c16</t>
  </si>
  <si>
    <t>c17</t>
  </si>
  <si>
    <t>c18</t>
  </si>
  <si>
    <t>(7)</t>
  </si>
  <si>
    <t>(8)</t>
  </si>
  <si>
    <t>(9)</t>
  </si>
  <si>
    <t>Table 10. Summary Statistics for Dual Class Shares</t>
  </si>
  <si>
    <t>Variable &amp; 2003 &amp; 2004 \\</t>
  </si>
  <si>
    <t>Assets, mln. \$ &amp; 1,202.3 &amp; 1,491.0 \\</t>
  </si>
  <si>
    <t xml:space="preserve"> &amp;  (3,066.0)  &amp;  (3,696.7)  \\</t>
  </si>
  <si>
    <t>Revenue, mln. \$ &amp; 741.3 &amp; 946.3 \\</t>
  </si>
  <si>
    <t xml:space="preserve"> &amp;  (1,323.7)  &amp;  (1,783.0)  \\</t>
  </si>
  <si>
    <t>ShadowP, \% &amp; 15.48 &amp; 12.56 \\</t>
  </si>
  <si>
    <t xml:space="preserve"> &amp;  (22.57)  &amp;  (15.13)  \\</t>
  </si>
  <si>
    <t>ShadowA, \% &amp; 0.94 &amp; 0.99 \\</t>
  </si>
  <si>
    <t xml:space="preserve"> &amp;  (1.39)  &amp;  (1.50)  \\</t>
  </si>
  <si>
    <t>ShadowR, \% &amp; 1.29 &amp; 1.25 \\</t>
  </si>
  <si>
    <t xml:space="preserve"> &amp;  (1.99)  &amp;  (1.70)  \\</t>
  </si>
  <si>
    <t>Voting Premium, \% &amp; 30.55 &amp; 27.67 \\</t>
  </si>
  <si>
    <t xml:space="preserve"> &amp;  (11.72)  &amp;  (12.41)  \\</t>
  </si>
  <si>
    <t>Dividend Premium &amp; 2.88 &amp; 3.50 \\</t>
  </si>
  <si>
    <t xml:space="preserve"> &amp;  (2.62)  &amp;  (4.03)  \\</t>
  </si>
  <si>
    <t>Total trades (ordinary stocks) &amp; 430.7 &amp; 281.0 \\</t>
  </si>
  <si>
    <t xml:space="preserve"> &amp;  (1,182.5)  &amp;  (612.2)  \\</t>
  </si>
  <si>
    <t xml:space="preserve">   Median &amp; 44.0 &amp; 62.5 \\</t>
  </si>
  <si>
    <t>Total trades (preferred stocks) &amp; 100.9 &amp; 84.9 \\</t>
  </si>
  <si>
    <t xml:space="preserve"> &amp;  (183.1)  &amp;  (111.8)  \\</t>
  </si>
  <si>
    <t xml:space="preserve">   Median &amp; 25.0 &amp; 39.0 \\</t>
  </si>
  <si>
    <t>N of obs &amp; 33 &amp; 34 \\</t>
  </si>
  <si>
    <t>Liquidity &amp; 0.72 &amp; 0.74 \\</t>
  </si>
  <si>
    <t xml:space="preserve"> &amp;  (0.54)  &amp;  (0.74)  \\</t>
  </si>
  <si>
    <t>Dependent variable:  Voting Premium</t>
  </si>
  <si>
    <t>\begin{tabular} {lccccccccc}</t>
  </si>
  <si>
    <t>Dependent variable:  Voting Premium &amp;  &amp;  &amp;  &amp;  &amp;  &amp;  &amp;  &amp;  &amp;  \\</t>
  </si>
  <si>
    <t xml:space="preserve"> &amp; (1) &amp; (2) &amp; (3) &amp; (4) &amp; (5) &amp; (6) &amp; (7) &amp; (8) &amp; (9) \\</t>
  </si>
  <si>
    <t xml:space="preserve"> Number of obs &amp; 66 &amp; 67 &amp; 67 &amp; 62 &amp; 62 &amp; 62 &amp; 31 &amp; 31 &amp; 31 \\</t>
  </si>
  <si>
    <t xml:space="preserve"> Number of groups  &amp; 35 &amp; 35 &amp; 35 &amp; 32 &amp; 32 &amp; 32 &amp; 16 &amp; 16 &amp; 16 \\</t>
  </si>
  <si>
    <t>Table 11. Relation Between Cash Flow Diversion Measures and Voting Premium</t>
  </si>
  <si>
    <t xml:space="preserve">     | ticker |</t>
  </si>
  <si>
    <t xml:space="preserve">     |--------|</t>
  </si>
  <si>
    <t xml:space="preserve"> 11. |   ARHE |</t>
  </si>
  <si>
    <t xml:space="preserve"> 13. |   ASRE |</t>
  </si>
  <si>
    <t xml:space="preserve"> 21. |   BEGY |</t>
  </si>
  <si>
    <t xml:space="preserve"> 31. |   CHIE |</t>
  </si>
  <si>
    <t xml:space="preserve"> 43. |   DALE |</t>
  </si>
  <si>
    <t xml:space="preserve"> 93. |   KOEN |</t>
  </si>
  <si>
    <t xml:space="preserve"> 97. |   KRGE |</t>
  </si>
  <si>
    <t>103. |   KRNG |</t>
  </si>
  <si>
    <t>107. |   KSGS |</t>
  </si>
  <si>
    <t>109. |   KUBE |</t>
  </si>
  <si>
    <t>113. |   KZBE |</t>
  </si>
  <si>
    <t>151. |   NGNR |</t>
  </si>
  <si>
    <t>167. |   SVER |</t>
  </si>
  <si>
    <t>169. |   TAEN |</t>
  </si>
  <si>
    <t>173. |   YARE |</t>
  </si>
  <si>
    <t>185. |   BREN |</t>
  </si>
  <si>
    <t>235. |   PMNG |</t>
  </si>
  <si>
    <t>311. |   TVRE |</t>
  </si>
  <si>
    <t>331. |   VLGS |</t>
  </si>
  <si>
    <t xml:space="preserve">     +--------+</t>
  </si>
  <si>
    <t xml:space="preserve">Dependent variable: </t>
  </si>
  <si>
    <t>GAAP/</t>
  </si>
  <si>
    <t>IAS</t>
  </si>
  <si>
    <t>ShadowP &amp; 0.016 &amp; &amp; &amp; 0.15 &amp; &amp; &amp; 0.331 &amp; &amp; \\</t>
  </si>
  <si>
    <t xml:space="preserve"> &amp;  (0.127)  &amp; &amp; &amp;  (0.101)  &amp; &amp; &amp;  (0.251)  &amp; &amp; \\</t>
  </si>
  <si>
    <t>ShadowA &amp; &amp; 2.988 &amp; &amp; &amp; 2.432 &amp; &amp; &amp; 3.872 &amp; \\</t>
  </si>
  <si>
    <t xml:space="preserve"> &amp; &amp;  (1.737) \ast  &amp; &amp; &amp;  (1.425) \ast  &amp; &amp; &amp;  (1.433) \ast \ast \ast  &amp; \\</t>
  </si>
  <si>
    <t>ShadowR &amp; &amp; &amp; 0.704 &amp; &amp; &amp; 1.753 &amp; &amp; &amp; 2.888 \\</t>
  </si>
  <si>
    <t xml:space="preserve"> &amp; &amp; &amp;  (1.457)  &amp; &amp; &amp;  (1.194)  &amp; &amp; &amp;  (1.781)  \\</t>
  </si>
  <si>
    <t>Dividend Premium &amp; &amp; &amp; &amp; -0.023 &amp; -0.02 &amp; -0.022 &amp; -0.027 &amp; -0.021 &amp; -0.023 \\</t>
  </si>
  <si>
    <t xml:space="preserve"> &amp; &amp; &amp; &amp;  (0.005) \ast \ast \ast  &amp;  (0.005) \ast \ast \ast  &amp;  (0.005) \ast \ast \ast  &amp;  (0.005) \ast \ast \ast  &amp;  (0.004) \ast \ast \ast  &amp;  (0.004) \ast \ast \ast  \\</t>
  </si>
  <si>
    <t>Liquidity &amp; &amp; &amp; &amp; 0.056 &amp; 0.061 &amp; 0.06 &amp; 0.194 &amp; 0.196 &amp; 0.19 \\</t>
  </si>
  <si>
    <t xml:space="preserve"> &amp; &amp; &amp; &amp;  (0.033) \ast  &amp;  (0.033) \ast  &amp;  (0.034) \ast  &amp;  (0.057) \ast \ast \ast  &amp;  (0.046) \ast \ast \ast  &amp;  (0.054) \ast \ast \ast  \\</t>
  </si>
  <si>
    <t>Government control &amp; &amp; &amp; &amp; -0.189 &amp; -0.179 &amp; -0.195 &amp; -0.246 &amp; -0.223 &amp; -0.248 \\</t>
  </si>
  <si>
    <t xml:space="preserve"> &amp; &amp; &amp; &amp;  (0.05) \ast \ast \ast  &amp;  (0.049) \ast \ast \ast  &amp;  (0.051) \ast \ast \ast  &amp;  (0.048) \ast \ast \ast  &amp;  (0.037) \ast \ast \ast  &amp;  (0.046) \ast \ast \ast  \\</t>
  </si>
  <si>
    <t>Electricity &amp; &amp; &amp; &amp; -0.048 &amp; -0.028 &amp; -0.03 &amp; &amp; &amp; \\</t>
  </si>
  <si>
    <t xml:space="preserve"> &amp; &amp; &amp; &amp;  (0.038)  &amp;  (0.037)  &amp;  (0.039)  &amp; &amp; &amp; \\</t>
  </si>
  <si>
    <t xml:space="preserve"> R-sq &amp; 0 &amp; 0.082 &amp; 0.007 &amp; 0.502 &amp; 0.514 &amp; 0.501 &amp; 0.778 &amp; 0.846 &amp; 0.793 \\</t>
  </si>
  <si>
    <t>Table 12. Cash Flow Diversion and Corporate governance</t>
  </si>
  <si>
    <t>Dependent variable:  &amp; ShadowP &amp;  &amp; ShadowA &amp;  &amp; ShadowR &amp;  \\</t>
  </si>
  <si>
    <t xml:space="preserve"> &amp; All &amp; GAAP/ &amp; All &amp; GAAP/ &amp; All &amp; GAAP/ \\</t>
  </si>
  <si>
    <t xml:space="preserve"> &amp; (RAS) &amp; IAS &amp; (RAS) &amp; IAS &amp; (RAS) &amp; IAS \\</t>
  </si>
  <si>
    <t>Government control &amp; 0.031 &amp; 0.03 &amp; -0.003 &amp; 0.001 &amp; -0.011 &amp; 0.006 \\</t>
  </si>
  <si>
    <t xml:space="preserve"> &amp;  (0.05)  &amp;  (0.079)  &amp;  (0.005)  &amp;  (0.006)  &amp;  (0.01)  &amp;  (0.005)  \\</t>
  </si>
  <si>
    <t>Foreinger on board &amp; 0.065 &amp; 0.015 &amp; 0.005 &amp; -0.001 &amp; 0.01 &amp; 0.004 \\</t>
  </si>
  <si>
    <t xml:space="preserve"> &amp;  (0.039) \ast  &amp;  (0.051)  &amp;  (0.004)  &amp;  (0.006)  &amp;  (0.008)  &amp;  (0.003)  \\</t>
  </si>
  <si>
    <t>Credit raiting &amp; 0.019 &amp; -0.138 &amp; -0.003 &amp; 0 &amp; 0.02 &amp; 0.004 \\</t>
  </si>
  <si>
    <t xml:space="preserve"> &amp;  (0.054)  &amp;  (0.069) \ast \ast  &amp;  (0.006)  &amp;  (0)  &amp;  (0.011) \ast  &amp;  (0.005)  \\</t>
  </si>
  <si>
    <t>Traded &amp; -0.012 &amp; -0.104 &amp; -0.008 &amp; -0.01 &amp; -0.011 &amp; 0.004 \\</t>
  </si>
  <si>
    <t xml:space="preserve"> &amp;  (0.034)  &amp;  (0.06) \ast  &amp;  (0.004) \ast \ast  &amp;  (0.005) \ast \ast  &amp;  (0.007)  &amp;  (0.004)  \\</t>
  </si>
  <si>
    <t>ADR or GDR &amp; 0.062 &amp; -0.015 &amp; 0.004 &amp; -0.002 &amp; 0.011 &amp; -0.004 \\</t>
  </si>
  <si>
    <t xml:space="preserve"> &amp;  (0.057)  &amp;  (0.062)  &amp;  (0.006)  &amp;  (0.005)  &amp;  (0.013)  &amp;  (0.004)  \\</t>
  </si>
  <si>
    <t>Audit by Big 4 &amp; -0.068 &amp; -0.04 &amp; 0.006 &amp; -0.002 &amp; 0.005 &amp; -0.008 \\</t>
  </si>
  <si>
    <t xml:space="preserve"> &amp;  (0.043)  &amp;  (0.066)  &amp;  (0.005)  &amp;  (0.005)  &amp;  (0.008)  &amp;  (0.004) \ast  \\</t>
  </si>
  <si>
    <t>Big (assets &gt; \$100 million) &amp; -0.091 &amp; -0.172 &amp; -0.015 &amp; -0.055 &amp; -0.019 &amp; -0.028 \\</t>
  </si>
  <si>
    <t xml:space="preserve"> &amp;  (0.04) \ast \ast  &amp;  (0.092) \ast  &amp;  (0.004) \ast \ast \ast  &amp;  (0.007) \ast \ast \ast  &amp;  (0.007) \ast \ast \ast  &amp;  (0.006) \ast \ast \ast  \\</t>
  </si>
  <si>
    <t xml:space="preserve"> Industries &amp;  Y &amp;  Y &amp;  Y &amp;  Y &amp;  Y &amp;  Y \\</t>
  </si>
  <si>
    <t xml:space="preserve"> R-sq &amp; 0.132 &amp; 0.174 &amp; 0.164 &amp; 0.485 &amp; 0.15 &amp; 0.369 \\</t>
  </si>
  <si>
    <t xml:space="preserve"> Number of obs &amp; 295 &amp; 80 &amp; 328 &amp; 88 &amp; 317 &amp; 88 \\</t>
  </si>
  <si>
    <t xml:space="preserve"> Number of groups  &amp; 165 &amp; 47 &amp; 176 &amp; 49 &amp; 172 &amp; 48 \\</t>
  </si>
  <si>
    <t>Table 13. Cash Flow Diversion and Firm Size. AK&amp;M Sample</t>
  </si>
  <si>
    <t>Log(Assets) &amp; -0.016 &amp; -0.009 &amp; -0.009 &amp; -0.008 &amp; -0.001 &amp; -0.001 \\</t>
  </si>
  <si>
    <t xml:space="preserve"> &amp;  (0.003) \ast \ast \ast  &amp;  (0.003) \ast \ast \ast  &amp;  (0.001) \ast \ast \ast  &amp;  (0.001) \ast \ast \ast  &amp;  (0) \ast \ast \ast  &amp;  (0) \ast \ast \ast  \\</t>
  </si>
  <si>
    <t xml:space="preserve"> R-sq &amp; 0.153 &amp; 0.178 &amp; 0.064 &amp; 0.083 &amp; 0.01 &amp; 0.026 \\</t>
  </si>
  <si>
    <t xml:space="preserve"> Number of obs &amp; 8490 &amp; 8490 &amp; 8368 &amp; 8368 &amp; 8472 &amp; 8472 \\</t>
  </si>
  <si>
    <t xml:space="preserve"> Number of groups  &amp; 4951 &amp; 4951 &amp; 4909 &amp; 4909 &amp; 4949 &amp; 4949 \\</t>
  </si>
  <si>
    <t xml:space="preserve">  &amp; 0 &amp; 0.026 &amp; 0.027 &amp; 0 &amp; 0 &amp; 0 \\</t>
  </si>
  <si>
    <t xml:space="preserve">  &amp; 0 &amp; 0 &amp; 0 &amp; 0 &amp; 0 &amp; 0 \\</t>
  </si>
  <si>
    <t xml:space="preserve">  &amp;  c1 &amp;  c3 &amp;  c5 &amp;  c7 &amp;  c9 &amp;  c11 \\</t>
  </si>
  <si>
    <t>ООО "САТОР-ТОРГ"</t>
  </si>
  <si>
    <t>ООО "ДЕКА ПЛАСТИК"</t>
  </si>
  <si>
    <t>РЕСУРCООО</t>
  </si>
  <si>
    <t>ООО "ГАММА-ТРЕЙД"</t>
  </si>
  <si>
    <t>ООО "Авиатранс"</t>
  </si>
  <si>
    <t>ООО"ПантэкСити"</t>
  </si>
  <si>
    <t>ООО ДЕСКРИПТ</t>
  </si>
  <si>
    <t>ООО "Систем Консалт"</t>
  </si>
  <si>
    <t>ООО"ЭДЕЛЬ"</t>
  </si>
  <si>
    <t>ООО "ФинКом"</t>
  </si>
  <si>
    <t>ООО "СТЕЛГА"</t>
  </si>
  <si>
    <t>ООО "Динадон"</t>
  </si>
  <si>
    <t>ООО "ЭЛСО"</t>
  </si>
  <si>
    <t>ООО "Даскон"</t>
  </si>
  <si>
    <t>ООО "МИРЭКС"</t>
  </si>
  <si>
    <t>ООО "АРКАДА"</t>
  </si>
  <si>
    <t>ООО "КВАНТ"</t>
  </si>
  <si>
    <t>ООО "Маурин"</t>
  </si>
  <si>
    <t>ООО "РЕМСТРОЙТЕХСЕРВИС"</t>
  </si>
  <si>
    <t>ООО "Азовгаздобыча"</t>
  </si>
  <si>
    <t>ООО "Трубодиагностика"</t>
  </si>
  <si>
    <t>ООО "ЭНТУЗИАСТ-2003"</t>
  </si>
  <si>
    <t>ООО "ЮНИКС ПОЛИС"</t>
  </si>
  <si>
    <t>ООО "Промтехинвест"</t>
  </si>
  <si>
    <t>ООО "Коммерцгруп"</t>
  </si>
  <si>
    <t>ООО "РОНДОЛЬФ"</t>
  </si>
  <si>
    <t>ООО "Мегатрейн"</t>
  </si>
  <si>
    <t>ООО "Провинтрейд"</t>
  </si>
  <si>
    <t>ООО СТК АЯКС</t>
  </si>
  <si>
    <t>ООО "ЭкспоТорг"</t>
  </si>
  <si>
    <t>ООО "ИНТЕРГРУПП"</t>
  </si>
  <si>
    <t>ООО ОНИКС</t>
  </si>
  <si>
    <t>ООО "Кэрри - К"</t>
  </si>
  <si>
    <t>ООО "БЕНОЙЛ"</t>
  </si>
  <si>
    <t>ООО СТРОЙРЕАЛПРОЕКТ</t>
  </si>
  <si>
    <t>ООО "Плектран"</t>
  </si>
  <si>
    <t>КПП 771501001 ООО"Строй Мега Старр"</t>
  </si>
  <si>
    <t>ООО "Ремстрой"</t>
  </si>
  <si>
    <t>ОООВИЛТЕКС</t>
  </si>
  <si>
    <t>ООО "РУСОПТ"</t>
  </si>
  <si>
    <t>ООО "АДВАНТ ПРЕСТИЖ"</t>
  </si>
  <si>
    <t>ООО "АЛЕКО"</t>
  </si>
  <si>
    <t>ООО "КАТАРОН"</t>
  </si>
  <si>
    <t>ООО "АКТИВСПЕЦСТРОЙ"</t>
  </si>
  <si>
    <t>ООО "АЛЬТЕНА ЭКСПЕРТ"</t>
  </si>
  <si>
    <t>ООО "Весткон"</t>
  </si>
  <si>
    <t>ООО "АРИАДНА"</t>
  </si>
  <si>
    <t>ООО "ЛЕНДСТОН"</t>
  </si>
  <si>
    <t>ООО "ЛАРЕНСО"</t>
  </si>
  <si>
    <t>ООО "Мир Торговли"</t>
  </si>
  <si>
    <t>ООО "Промтехноком"</t>
  </si>
  <si>
    <t>Общество с ограниченной ответственностью "СервисТорг"</t>
  </si>
  <si>
    <t>ООО "ВИШЕРА"</t>
  </si>
  <si>
    <t>ООО "ТРУБНЫЙ ТОРГОВЫЙ ДОМ"</t>
  </si>
  <si>
    <t>ООО "ГАЛИОН"</t>
  </si>
  <si>
    <t>ООО "КРЕО-СТРОЙ"</t>
  </si>
  <si>
    <t>ООО "ВЕЛИНА"</t>
  </si>
  <si>
    <t>ООО "Райзебюро"Улиссес"</t>
  </si>
  <si>
    <t>ООО "ТК БАЯДЕРА"</t>
  </si>
  <si>
    <t>ООО "Диома-ТК"</t>
  </si>
  <si>
    <t>ООО "ПМК КОМПЛЕКС"</t>
  </si>
  <si>
    <t>ООО "Лекс"</t>
  </si>
  <si>
    <t>ООО "КОНСАЛТ-М"</t>
  </si>
  <si>
    <t>ООО "Русинжтраст"</t>
  </si>
  <si>
    <t>ООО"ОРИОН-ТРЕЙД"</t>
  </si>
  <si>
    <t>ООО "РАП Текстиль"</t>
  </si>
  <si>
    <t>ООО ТД "РЭККО"</t>
  </si>
  <si>
    <t>ООО ТК "ОРГИС"</t>
  </si>
  <si>
    <t>ООО "Внеш ТОРГ Бизнес"</t>
  </si>
  <si>
    <t>ООО " ГОЛДЕН СПРИНГ"</t>
  </si>
  <si>
    <t>ООО 'Лотрекс'</t>
  </si>
  <si>
    <t>ООО"МедФармСеть"</t>
  </si>
  <si>
    <t>ООО "ДИНОЛ "</t>
  </si>
  <si>
    <t>ООО"Агротин"</t>
  </si>
  <si>
    <t>ООО "ЮТЕКС"</t>
  </si>
  <si>
    <t>ООО "КРАУС"</t>
  </si>
  <si>
    <t>ООО "ЛАНЭКО"</t>
  </si>
  <si>
    <t>ООО "ФЕСТКОМ"</t>
  </si>
  <si>
    <t>ООО "Атриум Центр"</t>
  </si>
  <si>
    <t>ООО "Техногрупп"</t>
  </si>
  <si>
    <t>ООО "Рафт"</t>
  </si>
  <si>
    <t>ООО "Медстар"</t>
  </si>
  <si>
    <t>ООО "КРОУС"</t>
  </si>
  <si>
    <t>ООО "ФК "ОЛИМП"</t>
  </si>
  <si>
    <t>МОТОРОСТРОИТЕЛЬ ЗАО</t>
  </si>
  <si>
    <t>ООО КРИЛОНИ</t>
  </si>
  <si>
    <t>ООО "ГЛОБАЛ-РЕЗЕРВ"</t>
  </si>
  <si>
    <t>ООО "Вест-Компани"</t>
  </si>
  <si>
    <t>ООО "Интерприс"</t>
  </si>
  <si>
    <t>ООО "МИРЭЛЬ"</t>
  </si>
  <si>
    <t>ООО"Альфа-Мир"</t>
  </si>
  <si>
    <t>ООО МАКСИМАЛЬ</t>
  </si>
  <si>
    <t>ООО "А-Строй"</t>
  </si>
  <si>
    <t>ООО "РДМСОФТ"</t>
  </si>
  <si>
    <t>ЗАО "ИНКАМ ПРАКТИК"</t>
  </si>
  <si>
    <t>ООО "ЛТ ГЕОМАШ"</t>
  </si>
  <si>
    <t>ООО "Стратегия Плюс"</t>
  </si>
  <si>
    <t>ООО ПКФ 'Вариация'</t>
  </si>
  <si>
    <t>ООО "Экспресс-связь"</t>
  </si>
  <si>
    <t>ООО "Новые медтехнологии"</t>
  </si>
  <si>
    <t>ООО "Смайлинг Милд"</t>
  </si>
  <si>
    <t>КПП 774301001 ООО НК ПЕТРООЙЛ, Г.Москва</t>
  </si>
  <si>
    <t>ООО "РЕММАШ"</t>
  </si>
  <si>
    <t>ООО "АНКЕРИМ "</t>
  </si>
  <si>
    <t>ООО"БИЗНЕСПРОЕКТ"</t>
  </si>
  <si>
    <t>КПП 773301001 ООО "Локко Трейд"</t>
  </si>
  <si>
    <t>ООО "СОЮЗТРЕЙДГРУПП"</t>
  </si>
  <si>
    <t>ООО Сервислайн</t>
  </si>
  <si>
    <t>ООО "Титан Диалог"</t>
  </si>
  <si>
    <t>ООО "ГРАНД-ИНВЕСТ"</t>
  </si>
  <si>
    <t>ООО "СибконтактОйл"</t>
  </si>
  <si>
    <t>ООО РОББИНС</t>
  </si>
  <si>
    <t>КПП 781601001 ООО "Эксперт-Лизинг"</t>
  </si>
  <si>
    <t>ООО"Абсолют-Сервис"</t>
  </si>
  <si>
    <t>ООО"Инфолайн"</t>
  </si>
  <si>
    <t>ООО "СИТИ СТАР"</t>
  </si>
  <si>
    <t>Name</t>
  </si>
  <si>
    <t>КПП 165101001 ООО "ТОРГОВЫЙ ДОМ "КАМА"</t>
  </si>
  <si>
    <t>ООО "Омэкс"</t>
  </si>
  <si>
    <t>ООО "Спутник-телеком"</t>
  </si>
  <si>
    <t>ООО "Ультроком"</t>
  </si>
  <si>
    <t>ООО "БРАМИН"</t>
  </si>
  <si>
    <t>ООО "Эксим-проект"</t>
  </si>
  <si>
    <t>КПП 770201001 ООО "Диатэнс"</t>
  </si>
  <si>
    <t>ООО "ВИГОРА"</t>
  </si>
  <si>
    <t>ЗАО "Поликсгрупп"</t>
  </si>
  <si>
    <t>N</t>
  </si>
  <si>
    <t>Notes</t>
  </si>
  <si>
    <t>(1)</t>
  </si>
  <si>
    <t>(2)</t>
  </si>
  <si>
    <t>МИТРА ООО</t>
  </si>
  <si>
    <t>ООО "Ардис Груп"</t>
  </si>
  <si>
    <t>ООО СТРОИТЕЛЬНО-МОНТАЖНЫЙ ТРЕСТ</t>
  </si>
  <si>
    <t>ООО ЗАПОЛЯРНЕФТЬ</t>
  </si>
  <si>
    <t>ООО "ВИКСА-2000"</t>
  </si>
  <si>
    <t>ООО "ОРИОН ПРОЕКТ"</t>
  </si>
  <si>
    <t>ООО "ПИНФИН трейд."</t>
  </si>
  <si>
    <t>ООО "ИнтерСтелТур 2002"</t>
  </si>
  <si>
    <t>ООО ФИНТРАСТСТРОЙ</t>
  </si>
  <si>
    <t>ООО "ТПЦ"РУСВЕСТКОМ"</t>
  </si>
  <si>
    <t>КПП 771501001 ООО "Дэлком МТК"</t>
  </si>
  <si>
    <t>ООО "Мегастрой"</t>
  </si>
  <si>
    <t>ООО "Торнадо норд"</t>
  </si>
  <si>
    <t>ООО "Диалинкомс"</t>
  </si>
  <si>
    <t>ООО "Менкофарм"</t>
  </si>
  <si>
    <t>ООО "Джениус Трейд"</t>
  </si>
  <si>
    <t>ООО " ЮниТайл"</t>
  </si>
  <si>
    <t>ООО "Тира инвест"</t>
  </si>
  <si>
    <t>Funds Transferred</t>
  </si>
  <si>
    <t>Source</t>
  </si>
  <si>
    <t>Transferred to Spacemen</t>
  </si>
  <si>
    <t>Received from Spacemen</t>
  </si>
  <si>
    <t>ОБЩЕСТВО С ОГРАНИЧЕННОЙ ОТВЕСТВЕННОСТЬЮ "ГАЗТАГЕД"</t>
  </si>
  <si>
    <t>ООО "ИК ВЕЛЕС Капитал"</t>
  </si>
  <si>
    <t>ОАО "ГНК "Нафта Москва"</t>
  </si>
  <si>
    <t>ООО "Новая Текстильная Компания" (ООО "НТК")</t>
  </si>
  <si>
    <t>ООО "КапиталИнвест"</t>
  </si>
  <si>
    <t>ОАО "НЕФТЕГАЗОВАЯ КОМПАНИЯ "СЛАВНЕФТЬ"</t>
  </si>
  <si>
    <t>ООО"НПК Спецавтоматика"</t>
  </si>
  <si>
    <t>ООО "СтройЦентр"</t>
  </si>
  <si>
    <t>ООО"Карельская древесина"</t>
  </si>
  <si>
    <t>ООО "Раскон-Мастер"</t>
  </si>
  <si>
    <t>ООО "Интэр Импэкс 2002"</t>
  </si>
  <si>
    <t>ООО"Мегаполисстройсервис"</t>
  </si>
  <si>
    <t>ООО "ВИНФАРМ"</t>
  </si>
  <si>
    <t>ОБЩЕСТВО С ОГРАНИЧЕННОЙ ОТВЕТСТВЕННОСТЬЮ "ЛАЙНГАЗ"</t>
  </si>
  <si>
    <t>Лайникс ООО</t>
  </si>
  <si>
    <t>ЗАО Компания Дилайн</t>
  </si>
  <si>
    <t>ООО"ФЕНАМАН"</t>
  </si>
  <si>
    <t>ООО"Инициатива"</t>
  </si>
  <si>
    <t>ОАО "Центральная топливная компания"</t>
  </si>
  <si>
    <t>ООО "Спец Ресурс"</t>
  </si>
  <si>
    <t>КПП 770901001 Расчетный счет ЗАКРЫТОЕ АКЦИОНЕРНОЕ ОБЩЕСТВО "ОПТИМАТЕХНОСТИМУЛ"</t>
  </si>
  <si>
    <t>ООО ЛИОННЭС</t>
  </si>
  <si>
    <t>ООО"Евроэстейт"</t>
  </si>
  <si>
    <t>ООО "Компания Авис"</t>
  </si>
  <si>
    <t>КПП771501001 ООО "СТРОЙГРАД"</t>
  </si>
  <si>
    <t>ОАО "Регистратор Р.О.С.Т"</t>
  </si>
  <si>
    <t>ОАО СЕВЕРСТАЛЬ</t>
  </si>
  <si>
    <t>ООО "Инвесттрейд сервис"</t>
  </si>
  <si>
    <t>КПП 771401001 ООО "ЭКВИФИН"</t>
  </si>
  <si>
    <t>ООО ФСО "Столичное страховое общество"</t>
  </si>
  <si>
    <t xml:space="preserve">УФК МФ РФ ПО Г.МОСКВЕ </t>
  </si>
  <si>
    <t>Филиал "Бастион-Кредит" АСБ "Бастион" (ОАО) в г. Москве</t>
  </si>
  <si>
    <t>ООО "НПП РОНДО"</t>
  </si>
  <si>
    <t>ООО "СК Диорис"</t>
  </si>
  <si>
    <t>ООО "Стройгазконсалтинг", Мещанское ОСБ N7811, г.Москва</t>
  </si>
  <si>
    <t>КПП 780401001 ОАО "Завод "Красный Выборжец"</t>
  </si>
  <si>
    <t>ООО "БРИАКОМ"</t>
  </si>
  <si>
    <t>ЗАО ППО "Новые технологии" .</t>
  </si>
  <si>
    <t>ООО "КРЕДО"</t>
  </si>
  <si>
    <t>ООО "Максим"</t>
  </si>
  <si>
    <t>KPP 772501001 ООО "ХимТэксЭнерго"</t>
  </si>
  <si>
    <t>ООО "Форус Инотех"</t>
  </si>
  <si>
    <t>ООО "Техком"</t>
  </si>
  <si>
    <t>ООО "МАЛАГА"</t>
  </si>
  <si>
    <t>ООО "Импэкс Инвест Строй"</t>
  </si>
  <si>
    <t>ОАО РЖД</t>
  </si>
  <si>
    <t>ЗАО ТФД "Брок-Инвест-Сервис и К"</t>
  </si>
  <si>
    <t>КПП 771301001 ЭЛИТМЕТКОНСТРУКЦИЯ ООО</t>
  </si>
  <si>
    <t>СКИПРУСМЕДИА ООО</t>
  </si>
  <si>
    <t>ООО "СТЭНОЙЛ"</t>
  </si>
  <si>
    <t>ОАО "НЕФТЯНАЯ КОМПАНИЯ РОСНЕФТЬ"</t>
  </si>
  <si>
    <t>ООО "Стройинтехвист"</t>
  </si>
  <si>
    <t>ООО"ИЛЕД М"</t>
  </si>
  <si>
    <t>ООО "РУС МАСТЕР-ГРАНД"</t>
  </si>
  <si>
    <t>ООО "ЭКСПОРТ ИМПЕРИАЛ"</t>
  </si>
  <si>
    <t>ООО"МПК ОМЕГА"</t>
  </si>
  <si>
    <t>ООО "ПРОМТЭКСТРОЙ"</t>
  </si>
  <si>
    <t>ООО "ЛЕМАН СТАЛЬ"</t>
  </si>
  <si>
    <t>ООО "КОМТОРГ"</t>
  </si>
  <si>
    <t>КПП 771501001 ООО "КОМСЕРВИС"</t>
  </si>
  <si>
    <t>ООО "МП Лантана Стайл"</t>
  </si>
  <si>
    <t>ООО "Импекс"</t>
  </si>
  <si>
    <t>ООО ИМПУЛЬС</t>
  </si>
  <si>
    <t>ООО ТК "НОВЭКС"</t>
  </si>
  <si>
    <t>ООО "МАДЖИФИКС"</t>
  </si>
  <si>
    <t>ООО "НАФТА-ПЕТРОЛ"</t>
  </si>
  <si>
    <t>ООО "СтройИнфоКонсалтинг"</t>
  </si>
  <si>
    <t>ООО Лидер</t>
  </si>
  <si>
    <t>ООО " ТОРУС "</t>
  </si>
  <si>
    <t>Газпроминвестхолдинг ООО</t>
  </si>
  <si>
    <t>ООО "СОНИКВАЙ"</t>
  </si>
  <si>
    <t>ОАО "Стройтрансгаз"</t>
  </si>
  <si>
    <t>ООО "ИнфоДирект"</t>
  </si>
  <si>
    <t>ОБЩЕСТВО С ОГРАНИЧЕННОЙ ОТВЕТСТВЕННОСТЬЮ СПЕЦТОРГПРОЕКТ"</t>
  </si>
  <si>
    <t>ООО "НОВАЯ СТОЛИЦА" Краснопресненское ОСБ 1569, г.Москва</t>
  </si>
  <si>
    <t>ЗАО "КОНЦЕРН СПЕЦПОСТАВКА"</t>
  </si>
  <si>
    <t>ООО "МП Аригон"</t>
  </si>
  <si>
    <t>ООО ВЛАСТА</t>
  </si>
  <si>
    <t>ООО "ЭКСПЛАНАДА"</t>
  </si>
  <si>
    <t>ООО "МастерКласс"</t>
  </si>
  <si>
    <t>ООО "КонтурПремиум"</t>
  </si>
  <si>
    <t>ООО " Инфо Тех"</t>
  </si>
  <si>
    <t>ООО "ТК ЛЮКС"</t>
  </si>
  <si>
    <t>ОАО "ОЭМК"</t>
  </si>
  <si>
    <t>000'Торговый Дом"ЕВРАЗХОЛДИНГ"</t>
  </si>
  <si>
    <t>ООО "АргоЦентр"</t>
  </si>
  <si>
    <t>ООО "ГЛАВК"</t>
  </si>
  <si>
    <t>ООО "Приват Трэйд"</t>
  </si>
  <si>
    <t>КПП ОAО НОВОЛИПЕЦКИЙ МЕТAЛЛУРГИЧЕСКИЙ КОМБИНAТ</t>
  </si>
  <si>
    <t>ООО "Производственно-коммерческая фирма "СОВИНТЕРСЕРВИС"</t>
  </si>
  <si>
    <t>ООО "МЕТИКС"</t>
  </si>
  <si>
    <t>ООО ТОРГОВЫЙ ДОМ КВ</t>
  </si>
  <si>
    <t>ООО Эльбрус</t>
  </si>
  <si>
    <t>ООО "Коммерц-Групп"</t>
  </si>
  <si>
    <t>ЗАО "ОЛДИ МАСТЕР"</t>
  </si>
  <si>
    <t>ООО "ИНТЕРТРЕЙД"</t>
  </si>
  <si>
    <t>ООО "Леман ПАЙП"</t>
  </si>
  <si>
    <t>ООО "Мейд-корпорейшн"</t>
  </si>
  <si>
    <t>АКТИВ-ПЛЮС ООО</t>
  </si>
  <si>
    <t>ООО "БЭСТ ТРЕЙД"</t>
  </si>
  <si>
    <t>ЗАО ТОРГОВЫЙ ДОМ УЭМ-КАТУР</t>
  </si>
  <si>
    <t>ООО "СТРОЙТЭКС"</t>
  </si>
  <si>
    <t>ОБЩЕСЧТВО С ОГРАНИЧЕННОЙ ОТВЕСТВЕННОСТЬЮ "ПРОВАЙДГАЗ"</t>
  </si>
  <si>
    <t>ООО "АНКЕЙ"</t>
  </si>
  <si>
    <t>ООО "ЮНИКС-С"</t>
  </si>
  <si>
    <t>ООО "МОНОЛИТ"</t>
  </si>
  <si>
    <t>ООО "Молт Инвест"</t>
  </si>
  <si>
    <t>ООО "ЭКСПРЕСС ЦЕНТР"</t>
  </si>
  <si>
    <t>ООО "Югнефтепродукт"</t>
  </si>
  <si>
    <t>ООО ЭТРА</t>
  </si>
  <si>
    <t>ООО "ЛИКОР"</t>
  </si>
  <si>
    <t>ООО Нордойл</t>
  </si>
  <si>
    <t>ООО "Бизнес Империал"</t>
  </si>
  <si>
    <t>ООО РЕСАНТА</t>
  </si>
  <si>
    <t>ЗАО "АМТ Групп"</t>
  </si>
  <si>
    <t>ООО "НАФТАБРИЗ"</t>
  </si>
  <si>
    <t>ООО "Спецальянстур"</t>
  </si>
  <si>
    <t>Общество с ограниченной ответственностью "КВ Ойл"</t>
  </si>
  <si>
    <t>ОАО "Тюменьэнерго"</t>
  </si>
  <si>
    <t>ООО "ТРАДЕКС"</t>
  </si>
  <si>
    <t>ООО "БИЗНЕС-ТРЕЙД"</t>
  </si>
  <si>
    <t>ООО "КОНЦЕПТ ЛАЙН"</t>
  </si>
  <si>
    <t>ООО "АСТОРСТРОЙ"</t>
  </si>
  <si>
    <t>ООО "ДельтаТорг"</t>
  </si>
  <si>
    <t>ООО "ИРБИС"</t>
  </si>
  <si>
    <t>ООО МИЛАНТ АГ</t>
  </si>
  <si>
    <t>КПП ООО "Вимет"</t>
  </si>
  <si>
    <t>ООО "Лара-Трейд"</t>
  </si>
  <si>
    <t>КПП 770301001 ООО "Тектоника-Маркет"</t>
  </si>
  <si>
    <t>ООО"КРАФТ"</t>
  </si>
  <si>
    <t>ЗАО "Торгово-промышленная компания "Аркада-Интер"</t>
  </si>
  <si>
    <t>ООО "Бизнес Кредит"</t>
  </si>
  <si>
    <t>ООО "ТОПКОМПСЕРВИС"</t>
  </si>
  <si>
    <t>ООО "ФОРОТОРГ"</t>
  </si>
  <si>
    <t>КПП 772801001 ООО "ЕВРОКЛАСС"</t>
  </si>
  <si>
    <t>ДЕЛОВОЙ ПАРТНЕР ООО</t>
  </si>
  <si>
    <t>ООО "ТехноЭнергия"</t>
  </si>
  <si>
    <t>ООО "НТЦ Информсервис"</t>
  </si>
  <si>
    <t>ООО "Эвирест"</t>
  </si>
  <si>
    <t>ООО "Интер Индастриз"</t>
  </si>
  <si>
    <t>ООО "Юнитрейд-М"</t>
  </si>
  <si>
    <t>ООО "Транском"</t>
  </si>
  <si>
    <t>ЕВРОКОМ ООО</t>
  </si>
  <si>
    <t>ООО "ИнвестСтройтрейдинг"</t>
  </si>
  <si>
    <t>ООО Партнер Групп</t>
  </si>
  <si>
    <t>КПП 772501001 ООО "Вектор Мобиле"</t>
  </si>
  <si>
    <t>ОАО "Горно-металлургическая компания "Норильский никель"</t>
  </si>
  <si>
    <t>ООО "Магистраль-Топливная Компания"</t>
  </si>
  <si>
    <t>ООО "СЕВЕРЕН.Н"</t>
  </si>
  <si>
    <t>ООО "МосКапитал"</t>
  </si>
  <si>
    <t>ЗАО "ТАТНЕФТЬ-МОСКВА"</t>
  </si>
  <si>
    <t>ООО "Альянс Мастер"</t>
  </si>
  <si>
    <t>ООО "Авангард"</t>
  </si>
  <si>
    <t>ООО "Ариэль-М"</t>
  </si>
  <si>
    <t>Форсаж ООО</t>
  </si>
  <si>
    <t>ООО "АРСЕЙТ"</t>
  </si>
  <si>
    <t>ФГУПС УФПС Московский почтамт прочие платежи по пбт</t>
  </si>
  <si>
    <t>OOO "СТРОЙ МЕТР"</t>
  </si>
  <si>
    <t>ООО "СВИССБЭЛ"</t>
  </si>
  <si>
    <t>ООО "ИНТЕРОЙЛ"</t>
  </si>
  <si>
    <t>ООО "ЮНИКОМ"</t>
  </si>
  <si>
    <t>ООО "ФинПромСофт"</t>
  </si>
  <si>
    <t>ЗАО "ТОPГОВАЯ КОМПАНИЯ "ЭЛЕКТPИК СИТИ"</t>
  </si>
  <si>
    <t>ОАО "НК" "Роснефть-Пурнефтегаз"</t>
  </si>
  <si>
    <t>КПП504201001 ООО "КОМПЬЮТЕРНЫЙ ЦЕНТР "СТАС"</t>
  </si>
  <si>
    <t>ООО "МП Бизнес Сервис Груп"</t>
  </si>
  <si>
    <t>ООО "БАЕРСТЕХТРАНС"</t>
  </si>
  <si>
    <t>ООО "Атлас Групп"</t>
  </si>
  <si>
    <t>ООО "БизнесКонсул"</t>
  </si>
  <si>
    <t>ООО УГЛЕМЕТ-ТРЕЙДИНГ</t>
  </si>
  <si>
    <t>ООО "ЭЛИОН"</t>
  </si>
  <si>
    <t>ООО "Оптима"</t>
  </si>
  <si>
    <t>ООО "Т.Б.М.-сервис" Г МОСКВА</t>
  </si>
  <si>
    <t>ОАО 'ИК' НИКОС ФАЙНЭНС КОРПОРЕЙШН'</t>
  </si>
  <si>
    <t>КПП 773001001 ООО "Виггинс"</t>
  </si>
  <si>
    <t>Общество с ограниченной отвнтственностью "Ланта Трейд"</t>
  </si>
  <si>
    <t>ООО НИДАН-ФУДС</t>
  </si>
  <si>
    <t>ООО 'ФИЛИТ'</t>
  </si>
  <si>
    <t>ООО "АВАНТТИС"</t>
  </si>
  <si>
    <t>ООО "ДЕЛАНЭЛ"</t>
  </si>
  <si>
    <t>СТ Донстрой ООО</t>
  </si>
  <si>
    <t>ООО "РЕМЭКС"</t>
  </si>
  <si>
    <t>КПП 771501001 ООО "ТехноДиал"</t>
  </si>
  <si>
    <t>ООО " ДОРСТ"</t>
  </si>
  <si>
    <t>ООО ТАМКОМ</t>
  </si>
  <si>
    <t>ООО"Консалдинг-Мастер-Групп"</t>
  </si>
  <si>
    <t>ЗАО "Метроном-Инвест"</t>
  </si>
  <si>
    <t>ООО "Техно легион"</t>
  </si>
  <si>
    <t>КПП 770201001 ООО "Т.Д. Белый фрегат"</t>
  </si>
  <si>
    <t>ООО "БЕСТ-ТРЕВЕЛ"</t>
  </si>
  <si>
    <t>ОАО Республиканский отраслевой союз по сбыту и производству угольной продукции</t>
  </si>
  <si>
    <t>ООО "Артур Спорт"</t>
  </si>
  <si>
    <t>ОАО СИБИРСКАЯ НЕФТЯНАЯ КОМПАНИЯ</t>
  </si>
  <si>
    <t>ООО "ИНТЕРСТЕЛ"</t>
  </si>
  <si>
    <t>ЗАО Газпромстройинжиниринг</t>
  </si>
  <si>
    <t>ООО "Магнот"</t>
  </si>
  <si>
    <t>ООО "ЮнайтЦентр"</t>
  </si>
  <si>
    <t>ООО"Торговый дом ГПА-Авиагаз"</t>
  </si>
  <si>
    <t>ООО "Эльдомир+"</t>
  </si>
  <si>
    <t>ООО "Аквелон"</t>
  </si>
  <si>
    <t>ООО "АРВЕНТОРГ"</t>
  </si>
  <si>
    <t>ООО "КЕНТАВР"</t>
  </si>
  <si>
    <t>ООО "БЛТ"</t>
  </si>
  <si>
    <t>ОАО "РОСАГРОЛИЗИНГ" Г.МОСКВА</t>
  </si>
  <si>
    <t>ООО "Фабер-траст"</t>
  </si>
  <si>
    <t>ООО "ТЕРРА"</t>
  </si>
  <si>
    <t>ООО "Конкорд"</t>
  </si>
  <si>
    <t>ООО "ДЕЛЬТА-СПЕКТР"</t>
  </si>
  <si>
    <t>ООО "Инвестиционная компания "КАСКАД"</t>
  </si>
  <si>
    <t>ООО ЦЕНТР-МАРКЕТ</t>
  </si>
  <si>
    <t>ООО Компания "Серпантин-Груп"</t>
  </si>
  <si>
    <t>ООО "ЭЛЕКТРОНИКА 21 ВЕКА"</t>
  </si>
  <si>
    <t>ООО "АльфаСтрой"</t>
  </si>
  <si>
    <t>ООО"Константа Плюс"</t>
  </si>
  <si>
    <t>ООО "КОНТИНЕНТ"</t>
  </si>
  <si>
    <t>ООО "Стайрон"</t>
  </si>
  <si>
    <t>КПП 772701001 ООО "Марви-инфо"</t>
  </si>
  <si>
    <t>ОАО "Белкамнефть" р/с 40702810668170102396 в УДМУРТСКОЕ ОСБ N 8618 Г.ИЖЕВСК</t>
  </si>
  <si>
    <t>ООО "Фирма Прософт"</t>
  </si>
  <si>
    <t>ООО "Стройинвест"</t>
  </si>
  <si>
    <t>ООО "ВОСТОКБАКАЛЕЯ"</t>
  </si>
  <si>
    <t>ООО "ВЕКСЕЛЬНЫЙ ЦЕНТР "КВОРУМ"</t>
  </si>
  <si>
    <t>ООО Регион Инвест</t>
  </si>
  <si>
    <t>ООО "РЭНДИС"</t>
  </si>
  <si>
    <t>КЕДР ООО</t>
  </si>
  <si>
    <t>ООО "БРИЛИС"</t>
  </si>
  <si>
    <t>ООО ООО "ПАНТОГРАФ"</t>
  </si>
  <si>
    <t>ООО "Интел Стандарт"</t>
  </si>
  <si>
    <t>ООО "Телеком Профи"</t>
  </si>
  <si>
    <t>ООО "МобилСистемГрупп"</t>
  </si>
  <si>
    <t>ООО "Олифф"</t>
  </si>
  <si>
    <t>КПП 771401001 ООО "СЭЛЛЭНД"</t>
  </si>
  <si>
    <t>ЗАО "ИНВЕСТ-КОНВЕРСИЯ"</t>
  </si>
  <si>
    <t>ЗАО ТПК ФЕЛИКС</t>
  </si>
  <si>
    <t>ООО "Архонт-ТК"</t>
  </si>
  <si>
    <t>ООО "Феникс"</t>
  </si>
  <si>
    <t>Закрытое акционерное общество "ТАНДЕР" р/с 40702810930010120150 в КРАСНОДАРСКОЕ ОСБ N 8619 Г. Краснодар</t>
  </si>
  <si>
    <t>ООО "АВТОГАРАНТ"</t>
  </si>
  <si>
    <t>ООО 'РЕГАН'</t>
  </si>
  <si>
    <t>ООО "ЕВРОСТИЛЬ"</t>
  </si>
  <si>
    <t>ОАО "Сибирско-Уральскаянефтегазохимическая компания"</t>
  </si>
  <si>
    <t>ООО "ВЕРОНА"</t>
  </si>
  <si>
    <t>ООО"Миг-Инфо"</t>
  </si>
  <si>
    <t>ООО "ЭММЕЛИН"</t>
  </si>
  <si>
    <t>ЗАО МЕТАЛЛОКОМПЛЕКТ-М</t>
  </si>
  <si>
    <t>ЗАО "ЦУП "Стройнефть"</t>
  </si>
  <si>
    <t>ООО ИВР-ТРЕЙДИНГ-ХОЛДИНГ</t>
  </si>
  <si>
    <t>ООО "Мерс актив"</t>
  </si>
  <si>
    <t>ООО ДИАЛОГ</t>
  </si>
  <si>
    <t>ООО "АЛЬКОР-ТК"</t>
  </si>
  <si>
    <t>ОАО ЛМЗ "Свободный Сокол"</t>
  </si>
  <si>
    <t>ООО "ТД БАЛТИК"</t>
  </si>
  <si>
    <t>ООО "Техстройплаза"</t>
  </si>
  <si>
    <t>ООО"Трэвес "</t>
  </si>
  <si>
    <t>ООО "Талимастер"</t>
  </si>
  <si>
    <t>ООО"Элси Стайл"</t>
  </si>
  <si>
    <t>ООО "ЭВИТА"</t>
  </si>
  <si>
    <t>ООО "Арт Сервис"</t>
  </si>
  <si>
    <t>ООО ЭФФЕКТ СЕРВИС</t>
  </si>
  <si>
    <t>ООО "КОЛЕУС"</t>
  </si>
  <si>
    <t>ООО АНТАРИС</t>
  </si>
  <si>
    <t>ООО "РЕМТЕХМОНТАЖ"</t>
  </si>
  <si>
    <t>ООО "АльфаГолд"</t>
  </si>
  <si>
    <t>ЭкспоСтрой, OOO</t>
  </si>
  <si>
    <t>ООО "Промфинанс"</t>
  </si>
  <si>
    <t>ООО "Татнефть-Москванефтепродукт"</t>
  </si>
  <si>
    <t>ООО "Ритон Торг"</t>
  </si>
  <si>
    <t>ООО "ШЕНАЛЛИ"</t>
  </si>
  <si>
    <t>ООО "БАРВИС-Т"</t>
  </si>
  <si>
    <t>ООО "Грандтехнострой"</t>
  </si>
  <si>
    <t>ООО "ДЕЛЬФИНАНС"</t>
  </si>
  <si>
    <t>ООО "Евролизинг Интернешнл"</t>
  </si>
  <si>
    <t>КПП 771501001 ООО"СПЛАВРЕСУРС"</t>
  </si>
  <si>
    <t>ООО ТАУЭР</t>
  </si>
  <si>
    <t>ЗАО "Финансово-инвестиционная компания "Лидинг"</t>
  </si>
  <si>
    <t>N of companies</t>
  </si>
  <si>
    <t>ADR or GDR</t>
  </si>
  <si>
    <t>Mean</t>
  </si>
  <si>
    <t>St. dev.</t>
  </si>
  <si>
    <t>Share of the largest ind, \%</t>
  </si>
  <si>
    <t>Government control, \%</t>
  </si>
  <si>
    <t>Foreinger on board, \%</t>
  </si>
  <si>
    <t>Credit raiting, \%</t>
  </si>
  <si>
    <t>ADR or GDR, \%</t>
  </si>
  <si>
    <t>Audit by Big 4, \%</t>
  </si>
  <si>
    <t>Traded, \%</t>
  </si>
  <si>
    <t>Big (assets &gt; \$100 million)</t>
  </si>
  <si>
    <t>Industries</t>
  </si>
  <si>
    <t>Table 9. Cash Flow Diversion and Corporate governance</t>
  </si>
  <si>
    <t>КПП 026601001 ОАО САЛАВАТНЕФТЕОРГСИНТЕЗ, р/с 40901810500110000002, БИК 048073754, корсчет 30101810600000000754, ОАО "УРАЛСИБ", г УФА</t>
  </si>
  <si>
    <t>ООО "САНТОС"</t>
  </si>
  <si>
    <t>ООО "Софт-Фэктори"</t>
  </si>
  <si>
    <t>ООО "Рубикон"</t>
  </si>
  <si>
    <t>ООО "Ортес Торг"</t>
  </si>
  <si>
    <t>ООО "Мета"</t>
  </si>
  <si>
    <t>ООО "ВЕНДОР - ФАКТ"</t>
  </si>
  <si>
    <t>ООО "Шенонкрафт"</t>
  </si>
  <si>
    <t>ООО "Алькор и Ко"</t>
  </si>
  <si>
    <t>ООО "Тимберликс"</t>
  </si>
  <si>
    <t>OOO "Петротэк-переработка"</t>
  </si>
  <si>
    <t>ООО "Арс групп"</t>
  </si>
  <si>
    <t>ООО "КОНТЭК"</t>
  </si>
  <si>
    <t>ООО МАРКЕТ-ЛИДЕР Т</t>
  </si>
  <si>
    <t>ООО "Робис"</t>
  </si>
  <si>
    <t>ООО "Вест Гранд"</t>
  </si>
  <si>
    <t>ООО"РусМетРесурс" г.Москва</t>
  </si>
  <si>
    <t>ЗАО "Далас трейд"</t>
  </si>
  <si>
    <t>ООО " Экспресс Сайт " .</t>
  </si>
  <si>
    <t>Table 8. Summary Statistics for the AK&amp;M sample</t>
  </si>
  <si>
    <t>Total trades (ordinary stocks)</t>
  </si>
  <si>
    <t>Voting Premium, \%</t>
  </si>
  <si>
    <t>КПП 560701001 ООО "Урал Сталь"</t>
  </si>
  <si>
    <t>ООО Моннерой</t>
  </si>
  <si>
    <t>ООО "Парилан"</t>
  </si>
  <si>
    <t>ООО "ЭКОЛОГИЯ"</t>
  </si>
  <si>
    <t>ООО "Компания "Макслевел"</t>
  </si>
  <si>
    <t>ООО "ТРАНСПРОВАЙДЕР"</t>
  </si>
  <si>
    <t>ЯЛИКОМ ООО</t>
  </si>
  <si>
    <t>ООО "Русская сталь"</t>
  </si>
  <si>
    <t>ООО "ЭЛЕКС-ПОЛЮС" КПП 772701001</t>
  </si>
  <si>
    <t>ООО "Гамма-Инлайт"</t>
  </si>
  <si>
    <t>ОАО КОМБИНАТ МАГНЕЗИТ г. САТКА</t>
  </si>
  <si>
    <t>ОАО "Альянс "Русский Текстиль"</t>
  </si>
  <si>
    <t>ООО "ИнтерРегионТрейдинг"</t>
  </si>
  <si>
    <t>ООО "ТРЕЙД-МАКСИМА"</t>
  </si>
  <si>
    <t>OOO "НАУКА ТЕХНОЛОДЖИ"</t>
  </si>
  <si>
    <t>ООО ТПК МеталлИнвестСервис</t>
  </si>
  <si>
    <t>ОАО САН Интербрю</t>
  </si>
  <si>
    <t>ООО "Еврокапитал"</t>
  </si>
  <si>
    <t>ООО "Вэст Торг"</t>
  </si>
  <si>
    <t>АМИЛИС ООО</t>
  </si>
  <si>
    <t>ООО "Русстройпродукт"</t>
  </si>
  <si>
    <t>ООО "АМТЕЛ"</t>
  </si>
  <si>
    <t>ООО "ПромАльянс"</t>
  </si>
  <si>
    <t>СМ-Гарант Общество взаимного страхования и сбережения Некоммерческое партнерство</t>
  </si>
  <si>
    <t>ООО ФОЛИАНТ</t>
  </si>
  <si>
    <t>РИТМ ООО</t>
  </si>
  <si>
    <t>ООО"Иникса-М"</t>
  </si>
  <si>
    <t>ЗАО "СПЕЦПОДШИПНИК"</t>
  </si>
  <si>
    <t>ООО "КОМИНТЕРЛАЙН"</t>
  </si>
  <si>
    <t>ООО ФИРМА СТЕПС</t>
  </si>
  <si>
    <t>ООО "АВИАФЛОТ-М"</t>
  </si>
  <si>
    <t>ООО "Гала-Гинезис"</t>
  </si>
  <si>
    <t>ООО Софитек</t>
  </si>
  <si>
    <t>ООО "ТК Колорит"</t>
  </si>
  <si>
    <t>ООО "Карелон"</t>
  </si>
  <si>
    <t>ООО "МедиаГрупп"</t>
  </si>
  <si>
    <t>ООО "Мега Тэкс ХХ1"</t>
  </si>
  <si>
    <t>ООО "ТоргСнабПоставка"</t>
  </si>
  <si>
    <t>ООО "Глобалтэк"</t>
  </si>
  <si>
    <t>КПП 770601001 Общество с ограниченной ответственностью "Аргус-Комэкс"</t>
  </si>
  <si>
    <t>ООО "ЛОЙЕР ЭКСПО"</t>
  </si>
  <si>
    <t>ООО "МонтажСтройИндустрия"</t>
  </si>
  <si>
    <t>ЗАО "Тунайча -M"</t>
  </si>
  <si>
    <t>ООО"Купец"</t>
  </si>
  <si>
    <t>ООО "МАЛТИС"</t>
  </si>
  <si>
    <t>ООО "Ориентир"</t>
  </si>
  <si>
    <t>ООО "Дельта-депозит"</t>
  </si>
  <si>
    <t>ЗАО "Металлоторг"</t>
  </si>
  <si>
    <t>ООО ОКА-ЦЕНТР</t>
  </si>
  <si>
    <t>ООО "СТРОЙКОМПЛЕКС"</t>
  </si>
  <si>
    <t>ООО "Диавит"</t>
  </si>
  <si>
    <t>ООО "ЮНИТЕЛ"</t>
  </si>
  <si>
    <t>ООО "Торговый Дом "Теско"</t>
  </si>
  <si>
    <t>ООО "БизнесРесурс-МТК"</t>
  </si>
  <si>
    <t>ООО "Гео-стандартс"</t>
  </si>
  <si>
    <t>ООО "ЕвроСтройПарк"</t>
  </si>
  <si>
    <t>ООО "Гаммус"</t>
  </si>
  <si>
    <t>ООО "Базис"</t>
  </si>
  <si>
    <t>ФГУП Забайкальская ж д</t>
  </si>
  <si>
    <t>ООО "МИРКАТА"</t>
  </si>
  <si>
    <t>ООО "ВИНТАР"</t>
  </si>
  <si>
    <t>ООО "Юнион Стиль"</t>
  </si>
  <si>
    <t>ООО "Алсена-н"</t>
  </si>
  <si>
    <t>ООО "КорэнГранд"</t>
  </si>
  <si>
    <t>ООО "ИНВЕНТЕК"</t>
  </si>
  <si>
    <t>ООО "Форвард Крафт"</t>
  </si>
  <si>
    <t>ООО "СК "Ростра"</t>
  </si>
  <si>
    <t>ООО"РАМО-ОПТ" Краснопресненское отд.1569</t>
  </si>
  <si>
    <t>ООО "ВЕГА"</t>
  </si>
  <si>
    <t>ООО "Универсал Фуд Компани"</t>
  </si>
  <si>
    <t>ООО МИЛИЭКСПО</t>
  </si>
  <si>
    <t>ООО "Москва-Траст"</t>
  </si>
  <si>
    <t>ООО " Предприятие НИКС" г. Москва</t>
  </si>
  <si>
    <t>ООО "Ампириус"</t>
  </si>
  <si>
    <t>ООО "Альфа-Союз"</t>
  </si>
  <si>
    <t>ООО "ЕВРАЗИЯ-КРЕДИТ"</t>
  </si>
  <si>
    <t>ФГУП Концерн Росэнергоатом</t>
  </si>
  <si>
    <t>ООО "ПАЛЛИУМ-ТОРГ"</t>
  </si>
  <si>
    <t>ООО "НОВОМЕТ"</t>
  </si>
  <si>
    <t>ООО "ГАЗПОСТАВКА"</t>
  </si>
  <si>
    <t>ООО "Аркада-Интер"</t>
  </si>
  <si>
    <t>БИЗНЕС ФИНАНС ООО</t>
  </si>
  <si>
    <t>ООО"НЕРОН"</t>
  </si>
  <si>
    <t>ООО "Евро Маркет"</t>
  </si>
  <si>
    <t>ООО БЗБ</t>
  </si>
  <si>
    <t>ООО САТУРН</t>
  </si>
  <si>
    <t>ООО "А.Г.Р.О.-3"</t>
  </si>
  <si>
    <t>OOO "Вестшугар"</t>
  </si>
  <si>
    <t>УПРАВЛЕНИЕ ФЕДЕРАЛЬНОГО КАЗНАЧЕЙСТВА МФ РФ ПО ЧЕЧЕНСКОЙ РЕСПУБЛИКЕ</t>
  </si>
  <si>
    <t>ООО БАЛТИЙСКАЯ ЭКСПЕДИТОРСКАЯ КОМПАHИЯ</t>
  </si>
  <si>
    <t>ООО МАСТЕР</t>
  </si>
  <si>
    <t>ООО "ЭлитТорг"</t>
  </si>
  <si>
    <t>ООО МЕТАЛЛИНВЕСТСЕРВИС</t>
  </si>
  <si>
    <t>ООО "Юникор Стиль"</t>
  </si>
  <si>
    <t>ООО "ЕВРОКРОВ" ТВЕРСКОЕ ОСБ N 7982 Г. МОСКВА</t>
  </si>
  <si>
    <t>КПП 771001001 ООО "Риал Нейтив"</t>
  </si>
  <si>
    <t>ООО ВИКС-Р</t>
  </si>
  <si>
    <t>ЗАО "Форатек Системс"</t>
  </si>
  <si>
    <t>ЗАО "СТРЕЙВЕР"</t>
  </si>
  <si>
    <t>КПП 770301001 ООО "ВиритСофт"</t>
  </si>
  <si>
    <t>ООО СВИТ НП Марьинорощинское ОСБ 7981 г.Москва</t>
  </si>
  <si>
    <t>ООО "ТЕКТОН"</t>
  </si>
  <si>
    <t>ООО ВТО ЭРКОНПРОДУКТ</t>
  </si>
  <si>
    <t>ООО "СТАР-ТРЕЙД"</t>
  </si>
  <si>
    <t>КПП 771901001 ЗАО "ПСГ-ПРОМСПЕЦГРУПП"</t>
  </si>
  <si>
    <t>ООО "РусМедиаКонсалт"</t>
  </si>
  <si>
    <t>ООО "Оргстрой"</t>
  </si>
  <si>
    <t>ООО "Каприз"</t>
  </si>
  <si>
    <t>ЗАО "КОЛТЕК ИНТЕРНЕШНЛ"</t>
  </si>
  <si>
    <t>ЗАО ДАТАТЕЛ</t>
  </si>
  <si>
    <t>ООО "СБ"АЛЬТАИР"</t>
  </si>
  <si>
    <t>ООО "Адрон"</t>
  </si>
  <si>
    <t>'Балашихамежрайгаз'</t>
  </si>
  <si>
    <t>ООО "Сервис Гарант"</t>
  </si>
  <si>
    <t>ООО "РУССКИЙ КУПЕЦ"</t>
  </si>
  <si>
    <t>ООО"АУРАС"</t>
  </si>
  <si>
    <t>ООО "Сайнс Мониторинг М"</t>
  </si>
  <si>
    <t>ЮНИТОРГ ООО</t>
  </si>
  <si>
    <t>ЗАО "Металл-Оптима"</t>
  </si>
  <si>
    <t>ООО "АДИМАНТ"</t>
  </si>
  <si>
    <t>КПП770301001 ЧЕЙЛ КОММЬЮНИКЕЙШНЗ РУС ООО</t>
  </si>
  <si>
    <t>ФИЛИАЛ КОМПАНИИ "САХАЛИН ЭНЕРДЖИ ИНВЕСТМЕНТ КОМПАНИ"</t>
  </si>
  <si>
    <t>Electricity</t>
  </si>
  <si>
    <t>Dividend Premium</t>
  </si>
  <si>
    <t>Liquidity</t>
  </si>
  <si>
    <t xml:space="preserve">   Median</t>
  </si>
  <si>
    <t>КОКА-КОЛА ЭЙЧБИСИ ЕВРАЗИЯ ООО</t>
  </si>
  <si>
    <t>ООО"ЭР-ЭС-АЙ"</t>
  </si>
  <si>
    <t>ООО "РИВАС М"</t>
  </si>
  <si>
    <t>ООО "АлтэксСервис"</t>
  </si>
  <si>
    <t>ООО "КомпТех"</t>
  </si>
  <si>
    <t>ООО "Компания СТРАТОС"</t>
  </si>
  <si>
    <t>ЗАО "О.Б.Л. HЕФТЕПРОДУКТ"</t>
  </si>
  <si>
    <t>ООО УСП Компьюлинк</t>
  </si>
  <si>
    <t>ООО"ЛАНТЕКС-ПРОФ"</t>
  </si>
  <si>
    <t>ЗАО "МАСАН РУС ТРЕЙДИНГ"</t>
  </si>
  <si>
    <t>ООО "М-ГРАНД"</t>
  </si>
  <si>
    <t>ООО "МАСГРЕЙД"</t>
  </si>
  <si>
    <t>ООО "МедТех-С.К."</t>
  </si>
  <si>
    <t>ООО "ВОСТХИМПРОМ"</t>
  </si>
  <si>
    <t>ООО "ЕВРОСИБ-ТМ"</t>
  </si>
  <si>
    <t>ООО "Галант"</t>
  </si>
  <si>
    <t>ООО МЕГАТЕХ</t>
  </si>
  <si>
    <t>ООО "ОМОР"</t>
  </si>
  <si>
    <t>Table 3. Summary Statistics for the Sample of Companies</t>
  </si>
  <si>
    <t>&gt;10</t>
  </si>
  <si>
    <t>sum_r</t>
  </si>
  <si>
    <t>sum_p</t>
  </si>
  <si>
    <t>total</t>
  </si>
  <si>
    <t>&lt;=10</t>
  </si>
  <si>
    <t xml:space="preserve">Top 500 Spacemen's Clients for 2003-2004. All numbers in mln. USD, converted 1 USD =  30 Russian rubles </t>
  </si>
  <si>
    <t>c1</t>
  </si>
  <si>
    <t>c2</t>
  </si>
  <si>
    <t>c3</t>
  </si>
  <si>
    <t>c4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</si>
  <si>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</si>
  <si>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</si>
  <si>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</si>
  <si>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</si>
  <si>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</si>
  <si>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</si>
  <si>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</si>
  <si>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</si>
  <si>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</si>
  <si>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</si>
  <si>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</si>
  <si>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</si>
  <si>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</si>
  <si>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</si>
  <si>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</si>
  <si>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</si>
  <si>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</si>
  <si>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</si>
  <si>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Variable</t>
  </si>
  <si>
    <t>\% presented after 12.15.04</t>
  </si>
  <si>
    <t>Mean age, calendar days</t>
  </si>
  <si>
    <t>Mean N of trans per month</t>
  </si>
  <si>
    <t>Mean funds rec. per month, \$</t>
  </si>
  <si>
    <t>Mean tax paid per month, \$</t>
  </si>
  <si>
    <t>Mean ESN paid per month, \$</t>
  </si>
  <si>
    <t>Mean funds paid per month, \$</t>
  </si>
  <si>
    <t>\% b. 1.20.03 \&amp; af. 12.15.04</t>
  </si>
  <si>
    <t>ООО "Маконо Консалтантс"</t>
  </si>
  <si>
    <t>ООО "ЭЛЬТ ПРОЕКТ" г.МОСКВА</t>
  </si>
  <si>
    <t>KPP 771501001 ООО "МОНОЛИТ"</t>
  </si>
  <si>
    <t>ООО "СAН" .</t>
  </si>
  <si>
    <t>ООО "ИНТЕК"</t>
  </si>
  <si>
    <t>ООО "ГАЗ СТРОЙ ПРОМ"</t>
  </si>
  <si>
    <t>ООО БЕСТКОНСУЛ</t>
  </si>
  <si>
    <t>ООО "Дальневосточная верфь"</t>
  </si>
  <si>
    <t>ООО МИРЭКС</t>
  </si>
  <si>
    <t>ООО "Забайкальские электрические сети"</t>
  </si>
  <si>
    <t>КПП770301001 ЗАО "ТНТ-Телесеть" ОСБ7981 Марьинорощинское г.Москва</t>
  </si>
  <si>
    <t>Net</t>
  </si>
  <si>
    <t>КПП 081550001 СБОРСАРЕ МЕНЕДЖМЕНТ ООО</t>
  </si>
  <si>
    <t>Лукойл-Пермь, ЗАО, Представительство</t>
  </si>
  <si>
    <t>ЗАО "Диалог-Проект"</t>
  </si>
  <si>
    <t>Энергосбыт АО Мосэнерго</t>
  </si>
  <si>
    <t>ММПП"САЛЮТ"</t>
  </si>
  <si>
    <t>ООО "ИНТЭКС"</t>
  </si>
  <si>
    <t>ООО "Евроинвест"</t>
  </si>
  <si>
    <t>ООО "Джилекс"</t>
  </si>
  <si>
    <t>ООО "АРГО"</t>
  </si>
  <si>
    <t>ЗАО "Угольная Энергетическая Компания"</t>
  </si>
  <si>
    <t>ООО "ФОРТЕ"</t>
  </si>
  <si>
    <t>ООО "ИНСАЙТ"</t>
  </si>
  <si>
    <t>КПП 502401001 ООО "ТЕЛЕКОММУНИКАЦИИ НОВОГО ТЫСЯЧЕЛЕТИЯ"</t>
  </si>
  <si>
    <t>Управление федерального казначейства Министерства финансов РФ по г. Москве</t>
  </si>
  <si>
    <t>ООО "ЮНИТОН"</t>
  </si>
  <si>
    <t>ИНН 7744000912 ООО "ГРОВЭРД"</t>
  </si>
  <si>
    <t>ООО "МИДИЛИНК"</t>
  </si>
  <si>
    <t>КПП 051501001 ООО "ИНТЕРО" Пролетарский филиал ОАО "МИНБ", г. Москва</t>
  </si>
  <si>
    <t>ООО "Ростехно"</t>
  </si>
  <si>
    <t>ООО "ПроектГазтех"</t>
  </si>
  <si>
    <t>ООО "РАМЭНКА"</t>
  </si>
  <si>
    <t>Верисел Проекты ЗАО</t>
  </si>
  <si>
    <t>ООО "Старт-Лайн 2001"</t>
  </si>
  <si>
    <t>КПП 770301001 ООО "Нафтатехресурс"</t>
  </si>
  <si>
    <t>КПП 631001001 ОАО энерг.и электриф."Самараэнерго"</t>
  </si>
  <si>
    <t>ООО"Эмит Холдинг"</t>
  </si>
  <si>
    <t>ООО "Торговый дом "Энергия"</t>
  </si>
  <si>
    <t>ООО "Экспотрейд НТК"</t>
  </si>
  <si>
    <t>ООО "ТК Горизонт"</t>
  </si>
  <si>
    <t>МетПромКомпани</t>
  </si>
  <si>
    <t>ООО "МОВЕН"</t>
  </si>
  <si>
    <t>ООО "Старстрой" Московский Филиал</t>
  </si>
  <si>
    <t>ООО "ТехноЛидер 2002"</t>
  </si>
  <si>
    <t>ООО "Центрум"</t>
  </si>
  <si>
    <t>ООО "Конверс-Сити"</t>
  </si>
  <si>
    <t>ООО "КонтактПресс"</t>
  </si>
  <si>
    <t>ООО "Сбытпрогресс"</t>
  </si>
  <si>
    <t>ООО "Корос-маркет"</t>
  </si>
  <si>
    <t>ЗАО "ГАРДЕРИКА"</t>
  </si>
  <si>
    <t>Общество с ограниченной ответственностью "Прогресс-М"</t>
  </si>
  <si>
    <t>р/с 47423810701000000002,Отдел процессинга ОАО "ПСБ"</t>
  </si>
  <si>
    <t>ООО "ЛЕГАТА - ТРЕЙД" .</t>
  </si>
  <si>
    <t>КПП 110601001 ООО"СТС" Отд.УСИНСКОЕ ОСБ 8123 Г УСИНСК р/с 40702810028140100381 в КОМИ ОСБ N 8617 Г СЫКТЫВКАР</t>
  </si>
  <si>
    <t>ООО "БизнесАктивГрупп"</t>
  </si>
  <si>
    <t>ООО ПКФ "ГАРМОНИЯ"</t>
  </si>
  <si>
    <t>ООО "Русснефтьпродукт"</t>
  </si>
  <si>
    <t>ООО"Метро Кэш Энд Керри"</t>
  </si>
  <si>
    <t>ООО"ЮВЕЛТОРГ"</t>
  </si>
  <si>
    <t>КВАТТРОЧЕМИНИ</t>
  </si>
  <si>
    <t>ООО "Дион-Лайн"</t>
  </si>
  <si>
    <t>ООО "Магистраль Транссервис"</t>
  </si>
  <si>
    <t>ООО "СТРОЙПРОЕКТАКТИВ"</t>
  </si>
  <si>
    <t>КПП 770301001 ООО "Биллинг Телеком"</t>
  </si>
  <si>
    <t>ООО "ФИРМА ЭНРОФ"</t>
  </si>
  <si>
    <t>ООО "АРТЕКС"</t>
  </si>
  <si>
    <t>ООО"ПОЛИМЕТ"</t>
  </si>
  <si>
    <t>ООО "Евразмет" .</t>
  </si>
  <si>
    <t>r19</t>
  </si>
  <si>
    <t>ООО"КОНВЕНТ МАРКЕТ СЕРВИС" .</t>
  </si>
  <si>
    <t>ООО "Транстех"</t>
  </si>
  <si>
    <t>ООО "ИНТЕРТЕХБЫТ" .</t>
  </si>
  <si>
    <t>ООО "Оптомер"</t>
  </si>
  <si>
    <t>ООО "ТэтраСэлбиКом"</t>
  </si>
  <si>
    <t>ООО" ВЕРН "</t>
  </si>
  <si>
    <t>ООО "ДАРМИНО"</t>
  </si>
  <si>
    <t>ООО "ЭРАЙМ"</t>
  </si>
  <si>
    <t>ЗАО "ИнтерГлобал"</t>
  </si>
  <si>
    <t>(3)</t>
  </si>
  <si>
    <t>(4)</t>
  </si>
  <si>
    <t>men</t>
  </si>
  <si>
    <t>Space-</t>
  </si>
  <si>
    <t xml:space="preserve">\% presented before 1.20.03 </t>
  </si>
  <si>
    <t>Магма ПКФ ООО</t>
  </si>
  <si>
    <t>ЗАО "ЛУКОЙЛ-НЕФТЕГАЗСТРОЙ"</t>
  </si>
  <si>
    <t>ООО ВЕРЕГОН</t>
  </si>
  <si>
    <t>ООО "ТЕХНОКОР"</t>
  </si>
  <si>
    <t>Funds Received</t>
  </si>
  <si>
    <t>Tax Paid</t>
  </si>
  <si>
    <t>Date of 1st transaction</t>
  </si>
  <si>
    <t>Date of Last transcation</t>
  </si>
  <si>
    <t>INN</t>
  </si>
  <si>
    <t xml:space="preserve">Top 500 Spacemen for 2003-2004. All numbers in mln. USD, converted 1 USD =  30 Russian rubles </t>
  </si>
  <si>
    <t>Общество с ограниченной ответственностью "ЭСТИМ"</t>
  </si>
  <si>
    <t>ООО "СоюзИнтерТорг-М"</t>
  </si>
  <si>
    <t>ООО "Реплайн"</t>
  </si>
  <si>
    <t>САЙГА ООО</t>
  </si>
  <si>
    <t>ИНЛЕЙ-СОЮЗ ООО</t>
  </si>
  <si>
    <t>ИНВЕСТ-ПРОЕКТ ООО</t>
  </si>
  <si>
    <t>БИЗНЕС-КАПИТАЛ ООО</t>
  </si>
  <si>
    <t>ИНВЕСТ-КЛАССИК ООО</t>
  </si>
  <si>
    <t>ООО "Финанс-Инжиниринг"</t>
  </si>
  <si>
    <t>ИНТЕР-ХОЛДИНГ ООО</t>
  </si>
  <si>
    <t>ООО "РОЗА МИРА ПРОЦЕССИНГ</t>
  </si>
  <si>
    <t>ООО "ВЕКТОР-МАРКЕТ"</t>
  </si>
  <si>
    <t>ООО "АНТАРЕКС"</t>
  </si>
  <si>
    <t>ЗАО "Северрегионгаз"</t>
  </si>
  <si>
    <t>ООО "АСТРУМ"</t>
  </si>
  <si>
    <t>ООО "ЕВРОТРЭЙДИНГ"</t>
  </si>
  <si>
    <t>ООО "ТРОКОН"</t>
  </si>
  <si>
    <t>ООО "Центр инвестиций"</t>
  </si>
  <si>
    <t>АСТАРТА ООО</t>
  </si>
  <si>
    <t>ООО " ЭМ СИСТЕМ "</t>
  </si>
  <si>
    <t>ООО ИНВЕСТ ПЕТРОЛЬ</t>
  </si>
  <si>
    <t>ООО"АМТ ГРУПП"</t>
  </si>
  <si>
    <t>ООО "Спецрегионпродукт"</t>
  </si>
  <si>
    <t>ООО "Оптоволокно"</t>
  </si>
  <si>
    <t>ООО "Авиатопливная компания"</t>
  </si>
  <si>
    <t>ООО"ФИНТЭС"</t>
  </si>
  <si>
    <t>ООО "ИНТЕЛ ТОРГ"</t>
  </si>
  <si>
    <t>ООО "ФортЛайн"</t>
  </si>
  <si>
    <t>ООО"ВАРТЕКС"</t>
  </si>
  <si>
    <t>ООО "ВИЛФОРД"</t>
  </si>
  <si>
    <t>ООО "БизнесГарант" г. Москва</t>
  </si>
  <si>
    <t>ООО "САМТЕК"</t>
  </si>
  <si>
    <t>ООО "Сарид-101"</t>
  </si>
  <si>
    <t>ООО "КВЭСТ"</t>
  </si>
  <si>
    <t>ООО "Технотрэйд Ресеч"</t>
  </si>
  <si>
    <t>ЗАО "Дельта Инвестмент"</t>
  </si>
  <si>
    <t>ООО АЛЬФА СЕРВИС</t>
  </si>
  <si>
    <t>КПП 774301001 ООО "НОРД-ИМПЕКС"</t>
  </si>
  <si>
    <t>ООО "КВАРНЕР"</t>
  </si>
  <si>
    <t>ЗАО "ДИЗАЙН ГРУПП"</t>
  </si>
  <si>
    <t>ООО "ИМИДЖ-АРТ"</t>
  </si>
  <si>
    <t>ООО "АкваТрейд"</t>
  </si>
  <si>
    <t>ООО "РИННЕЛ"</t>
  </si>
  <si>
    <t>ООО "ГЕЛИСОН"</t>
  </si>
  <si>
    <t>ООО "БИЗОН"</t>
  </si>
  <si>
    <t>ООО "Риатех"</t>
  </si>
  <si>
    <t>ООО "Миссон"</t>
  </si>
  <si>
    <t>ООО "ТЕЛЕКОМ РЦТ"</t>
  </si>
  <si>
    <t>ООО "Вторметсплав"</t>
  </si>
  <si>
    <t>ООО "НегоРесурс"</t>
  </si>
  <si>
    <t>Общество с ограниченной ответственностью Компания "Общесоюзный машсервис"</t>
  </si>
  <si>
    <t>Общество с ограниченной ответственностью Торговый дом "АЛАМОС"</t>
  </si>
  <si>
    <t>ООО Компания оптовой торговли "Развитие и содействие"</t>
  </si>
  <si>
    <t>ООО "Ван-Джуд"</t>
  </si>
  <si>
    <t>ЗАО "Туристическая фирма "КОЛУМБ 2000"</t>
  </si>
  <si>
    <t>ООО "Стройэктех"</t>
  </si>
  <si>
    <t>КПП 771301001 ООО Компания "ЮНИВЕРС Контракт"</t>
  </si>
  <si>
    <t>ООО "НовикомЭкспо"</t>
  </si>
  <si>
    <t>ООО"Гарантснабэкспо"</t>
  </si>
  <si>
    <t>ООО "Флорес"</t>
  </si>
  <si>
    <t>ООО "ТРАНС ЭКСПЕРТ"</t>
  </si>
  <si>
    <t>ООО "Иркутскнефтепромысел"</t>
  </si>
  <si>
    <t>ООО "МаркетЛюкс"</t>
  </si>
  <si>
    <t>ООО"Фэлкон"</t>
  </si>
  <si>
    <t>ООО Фирма "Диамант"</t>
  </si>
  <si>
    <t>ООО "САЛЬТЕР"</t>
  </si>
  <si>
    <t>ООО "Торговый дом "Енисейский"</t>
  </si>
  <si>
    <t>ООО "Атис"</t>
  </si>
  <si>
    <t>KPP 770601001 ООО "Трейд Маркет"</t>
  </si>
  <si>
    <t>ООО "Уностайл"</t>
  </si>
  <si>
    <t>ООО "СтройМонтаж"</t>
  </si>
  <si>
    <t>ООО "Банер"</t>
  </si>
  <si>
    <t>ООО "Гарас"</t>
  </si>
  <si>
    <t>ООО "Итеко Трейд"</t>
  </si>
  <si>
    <t>ООО"ЭЛЛИТ СИТИ"</t>
  </si>
  <si>
    <t>ООО"Система АСТ" г.Москва</t>
  </si>
  <si>
    <t>ООО "Севмашстрой"</t>
  </si>
  <si>
    <t>ООО "Саха-золотодобыча"</t>
  </si>
  <si>
    <t>ООО "Инновационное станкостроение"</t>
  </si>
  <si>
    <t>ООО"Промстройиндустрия"</t>
  </si>
  <si>
    <t>ООО "СТРОЙЛЕНД"</t>
  </si>
  <si>
    <t>ХИМ ПРОМ(ООО)</t>
  </si>
  <si>
    <t>ООО "Эридан Траст"</t>
  </si>
  <si>
    <t>ЗАО "Скайлок"</t>
  </si>
  <si>
    <t>КПП 770901001 ООО "ФАКТОР-М"</t>
  </si>
  <si>
    <t>AKM sample</t>
  </si>
  <si>
    <t>(5)</t>
  </si>
  <si>
    <t>(6)</t>
  </si>
  <si>
    <t>ShadowP</t>
  </si>
  <si>
    <t>ShadowA</t>
  </si>
  <si>
    <t>Controls</t>
  </si>
  <si>
    <t>Industry</t>
  </si>
  <si>
    <t>R-sq</t>
  </si>
  <si>
    <t>within</t>
  </si>
  <si>
    <t>between</t>
  </si>
  <si>
    <t>overall</t>
  </si>
  <si>
    <t>Number of obs</t>
  </si>
  <si>
    <t xml:space="preserve">Number of groups </t>
  </si>
  <si>
    <t>c5</t>
  </si>
  <si>
    <t>c6</t>
  </si>
  <si>
    <t>c7</t>
  </si>
  <si>
    <t>c8</t>
  </si>
  <si>
    <t>Y</t>
  </si>
  <si>
    <t>\begin{tabular} {lcc}</t>
  </si>
  <si>
    <t xml:space="preserve"> &amp; 2003 &amp; 2004 \\</t>
  </si>
  <si>
    <t>Variable &amp; (1) &amp; (2) \\</t>
  </si>
  <si>
    <t>N of obs &amp; 411 &amp; 452 \\</t>
  </si>
  <si>
    <t>N of obs &amp; 317 &amp; 309 \\</t>
  </si>
  <si>
    <t>N of obs &amp; 281 &amp; 133 \\</t>
  </si>
  <si>
    <t>N of obs &amp; 325 &amp; 315 \\</t>
  </si>
  <si>
    <t>N of obs &amp; 278 &amp; 132 \\</t>
  </si>
  <si>
    <t>N of obs &amp; 244 &amp; 234 \\</t>
  </si>
  <si>
    <t>Correlations &amp; &amp; \\</t>
  </si>
  <si>
    <t>N of obs &amp; 309 &amp; 292 \\</t>
  </si>
  <si>
    <t>N of obs &amp; 206 &amp; 87 \\</t>
  </si>
  <si>
    <t>N of obs &amp; 199 &amp; 85 \\</t>
  </si>
  <si>
    <t>\% \|Log(Rev)-Log(Rev\_B)\|\&lt;0.5 &amp; 71 &amp; 64 \\</t>
  </si>
  <si>
    <t>Revenue\_B, th. \$ &amp; 808.2 &amp; 748 \\</t>
  </si>
  <si>
    <t xml:space="preserve"> &amp;  (2262.9)  &amp;  (2051.7)  \\</t>
  </si>
  <si>
    <t>Revenue, th. \$ &amp; 866 &amp; 950.2 \\</t>
  </si>
  <si>
    <t xml:space="preserve"> &amp;  (1911.6)  &amp;  (2024.3)  \\</t>
  </si>
  <si>
    <t>Profit\_B, th. \$ &amp; 35.4 &amp; 36.1 \\</t>
  </si>
  <si>
    <t xml:space="preserve"> &amp;  (93.8)  &amp;  (111.8)  \\</t>
  </si>
  <si>
    <t>Profit, th. \$ &amp; 25.8 &amp; 35 \\</t>
  </si>
  <si>
    <t xml:space="preserve"> &amp;  (81.2)  &amp;  (97.9)  \\</t>
  </si>
  <si>
    <t>Margin\_B &amp; 5.6 &amp; 4.8 \\</t>
  </si>
  <si>
    <t xml:space="preserve"> &amp;  (9.6)  &amp;  (8.8)  \\</t>
  </si>
  <si>
    <t>Margin &amp; 6.4 &amp; 6.6 \\</t>
  </si>
  <si>
    <t xml:space="preserve"> &amp;  (9.4)  &amp;  (10.1)  \\</t>
  </si>
  <si>
    <t>\% \|Log(Rev)-Log(Rev\_B)\|\&lt;0.1 &amp; 26.2 &amp; 28.1 \\</t>
  </si>
  <si>
    <t>Log(Rev), Log(Rev\_B) &amp; 0.759 &amp; 0.56 \\</t>
  </si>
  <si>
    <t>Log(Profit), Log(Profit\_B) &amp; 0.872 &amp; 0.868 \\</t>
  </si>
  <si>
    <t>Margin, Margin\_B &amp; 0.66 &amp; 0.491 \\</t>
  </si>
  <si>
    <t>Table 2. Summary Statistics of Rosstat/Bank Data Matched Sample</t>
  </si>
  <si>
    <t xml:space="preserve"> (RAS)</t>
  </si>
  <si>
    <t xml:space="preserve">GAAP/IAS </t>
  </si>
  <si>
    <t>\begin{tabular} {lcccc}</t>
  </si>
  <si>
    <t xml:space="preserve"> &amp; All &amp; RAS only &amp; GAAP/IAS  &amp; GAAP/IAS only  \\</t>
  </si>
  <si>
    <t xml:space="preserve"> &amp;  (RAS) &amp;  (RAS) &amp;  (RAS) &amp; GAAP/IAS \\</t>
  </si>
  <si>
    <t>Variable &amp; (1) &amp; (2) &amp; (3) &amp; (4) \\</t>
  </si>
  <si>
    <t>Profit, mln. \$ &amp; 192 &amp; 66 &amp; 542 &amp; 824 \\</t>
  </si>
  <si>
    <t>Debt/assets, \% &amp; 21.87 &amp; 21.62 &amp; 22.53 &amp; 19.23 \\</t>
  </si>
  <si>
    <t>Sales margin , \% &amp; 12.71 &amp; 9.62 &amp; 21.39 &amp; 16.45 \\</t>
  </si>
  <si>
    <t>Share of the largest ind, \% &amp; 3.86 &amp; 2.72 &amp; 7.07 &amp; \\</t>
  </si>
  <si>
    <t xml:space="preserve"> &amp;  (10.41)  &amp;  (6.85)  &amp;  (16.43)  &amp; \\</t>
  </si>
  <si>
    <t>Foreinger on board, \% &amp; 18.75 &amp; 10.89 &amp; 40.91 &amp; \\</t>
  </si>
  <si>
    <t>Credit raiting, \% &amp; 13.99 &amp; 2.42 &amp; 46.59 &amp; \\</t>
  </si>
  <si>
    <t>Traded, \% &amp; 65.77 &amp; 61.29 &amp; 78.41 &amp; \\</t>
  </si>
  <si>
    <t>ADR or GDR, \% &amp; 11.31 &amp; 4.03 &amp; 31.82 &amp; \\</t>
  </si>
  <si>
    <t>Audit by Big 4, \% &amp; 22.62 &amp; 13.71 &amp; 47.73 &amp; \\</t>
  </si>
  <si>
    <t>Big (assets &gt; \$100 million), \% &amp; 72.02 &amp; 65.32 &amp; 90.91 &amp; \\</t>
  </si>
  <si>
    <t xml:space="preserve"> N of companies &amp; 180 &amp; 137 &amp; 49 &amp; 49 \\</t>
  </si>
  <si>
    <t xml:space="preserve"> N of obs &amp; 336 &amp; 248 &amp; 88 &amp; 88 \\</t>
  </si>
  <si>
    <t xml:space="preserve"> &amp; All,  &amp; All,  &amp; Regular &amp;  &amp;  &amp;  \\</t>
  </si>
  <si>
    <t xml:space="preserve"> &amp;  &amp; sum\_r&gt; &amp; sum\_r&gt; &amp;  &amp; Normal &amp;  \\</t>
  </si>
  <si>
    <t xml:space="preserve"> &amp;  &amp; &gt;sum\_p &amp; &gt;sum\_p &amp;  &amp;  &amp;  \\</t>
  </si>
  <si>
    <t>Variable &amp; (1) &amp; (3) &amp; (5) &amp;  &amp; 100313 &amp;  \\</t>
  </si>
  <si>
    <t>Assets, mln. \$ &amp; 1,701 &amp; 589 &amp; 4,810 &amp; 6,850 \\</t>
  </si>
  <si>
    <t xml:space="preserve"> &amp;  (7,400)  &amp;  (2,241)  &amp;  (13,497)  &amp;  (16,477)  \\</t>
  </si>
  <si>
    <t>Revenue, mln. \$ &amp; 875 &amp; 323 &amp; 2,405 &amp; 3,860 \\</t>
  </si>
  <si>
    <t xml:space="preserve"> &amp;  (2,776)  &amp;  (822)  &amp;  (4,920)  &amp;  (7,117)  \\</t>
  </si>
  <si>
    <t xml:space="preserve"> &amp;  (694)  &amp;  (321)  &amp;  (1,172)  &amp;  (1,705)  \\</t>
  </si>
  <si>
    <t xml:space="preserve"> &amp;  (18.47)  &amp;  (19.20)  &amp;  (16.50)  &amp;  (15.50)  \\</t>
  </si>
  <si>
    <t xml:space="preserve"> &amp;  (16.39)  &amp;  (14.60)  &amp;  (18.05)  &amp;  (15.88)  \\</t>
  </si>
  <si>
    <t>Government control, \% &amp; 25.97 &amp; 21.86 &amp; 37.50 &amp; \\</t>
  </si>
  <si>
    <t>Table 4. Summary Statistics "Spacemen" vs "Regular" firms</t>
  </si>
  <si>
    <t xml:space="preserve"> ShadowP, \% &amp;  &amp;  &amp;  &amp;  \\</t>
  </si>
  <si>
    <t xml:space="preserve"> ShadowR, \% &amp;  &amp;  &amp;  &amp;  \\</t>
  </si>
  <si>
    <t xml:space="preserve"> ShadowA, \% &amp;  &amp;  &amp;  &amp;  \\</t>
  </si>
  <si>
    <t>.   Mean</t>
  </si>
  <si>
    <t>.   Median</t>
  </si>
  <si>
    <t>.   St. dev.</t>
  </si>
  <si>
    <t>.   N of obs</t>
  </si>
  <si>
    <t xml:space="preserve"> .   Mean &amp; 17.86 &amp; 19.20 &amp; 14.54 &amp; 12.27 \\</t>
  </si>
  <si>
    <t xml:space="preserve"> .   Median &amp; 6.93 &amp; 7.11 &amp; 6.74 &amp; 6.57 \\</t>
  </si>
  <si>
    <t xml:space="preserve"> .   St. dev. &amp; 23.76 &amp; 24.89 &amp; 20.45 &amp; 18.01 \\</t>
  </si>
  <si>
    <t xml:space="preserve"> .   N of obs &amp; 296 &amp; 211 &amp; 85 &amp; 78 \\</t>
  </si>
  <si>
    <t xml:space="preserve"> .   Mean &amp; 2.60 &amp; 2.69 &amp; 2.33 &amp; 1.25 \\</t>
  </si>
  <si>
    <t xml:space="preserve"> .   Median &amp; 0.72 &amp; 0.60 &amp; 0.94 &amp; 0.80 \\</t>
  </si>
  <si>
    <t xml:space="preserve"> .   St. dev. &amp; 4.64 &amp; 4.86 &amp; 4.00 &amp; 1.47 \\</t>
  </si>
  <si>
    <t xml:space="preserve"> .   N of obs &amp; 318 &amp; 233 &amp; 85 &amp; 86 \\</t>
  </si>
  <si>
    <t xml:space="preserve"> .   Mean &amp; 1.63 &amp; 1.73 &amp; 1.36 &amp; 1.05 \\</t>
  </si>
  <si>
    <t xml:space="preserve"> .   Median &amp; 0.57 &amp; 0.55 &amp; 0.59 &amp; 0.48 \\</t>
  </si>
  <si>
    <t xml:space="preserve"> .   St. dev. &amp; 2.57 &amp; 2.73 &amp; 2.02 &amp; 1.79 \\</t>
  </si>
  <si>
    <t xml:space="preserve"> .   N of obs &amp; 329 &amp; 241 &amp; 88 &amp; 88 \\</t>
  </si>
  <si>
    <t xml:space="preserve"> Name &amp;  Ticker &amp;  2003, mln.\$ &amp;  2004, mln. \$ &amp;  Total mln. \$ \\</t>
  </si>
  <si>
    <t xml:space="preserve"> Gazprom &amp; GAZP &amp; 573.00 &amp; 805.00 &amp; 1,378.00 \\</t>
  </si>
  <si>
    <t xml:space="preserve"> Lukoil &amp; LKOH &amp; 318.47 &amp; 97.70 &amp; 416.17 \\</t>
  </si>
  <si>
    <t xml:space="preserve"> RAO UES &amp; EESR &amp; 212.30 &amp; 168.43 &amp; 380.73 \\</t>
  </si>
  <si>
    <t xml:space="preserve"> TNK BP &amp; TNKO &amp; 226.57 &amp; 65.03 &amp; 291.60 \\</t>
  </si>
  <si>
    <t xml:space="preserve"> Sidandko &amp; SDNK &amp; 192.27 &amp; 19.33 &amp; 211.59 \\</t>
  </si>
  <si>
    <t xml:space="preserve"> Rosneft &amp; ROSN &amp; 96.37 &amp; 97.60 &amp; 193.97 \\</t>
  </si>
  <si>
    <t xml:space="preserve"> Slavneft &amp; SLAV &amp; 56.17 &amp; 136.20 &amp; 192.37 \\</t>
  </si>
  <si>
    <t xml:space="preserve"> Mosenergo &amp; MSNG &amp; 132.60 &amp; 24.36 &amp; 156.96 \\</t>
  </si>
  <si>
    <t xml:space="preserve"> Russian Railways &amp; RZHD &amp; 34.03 &amp; 114.27 &amp; 148.30 \\</t>
  </si>
  <si>
    <t xml:space="preserve"> Severstal &amp; CHMF &amp; 26.14 &amp; 117.00 &amp; 143.14 \\</t>
  </si>
  <si>
    <t xml:space="preserve"> Novolipetsk Steel &amp; NLMK &amp; 66.30 &amp; 59.93 &amp; 126.23 \\</t>
  </si>
  <si>
    <t xml:space="preserve"> Tatneft &amp; TATN &amp; 98.23 &amp; 21.14 &amp; 119.37 \\</t>
  </si>
  <si>
    <t xml:space="preserve"> Salavatnefteorgsintez &amp; SNOZ &amp; 38.97 &amp; 78.83 &amp; 117.80 \\</t>
  </si>
  <si>
    <t xml:space="preserve"> Rostelecom &amp; RTKM &amp; 31.92 &amp; 64.53 &amp; 96.45 \\</t>
  </si>
  <si>
    <t xml:space="preserve"> Norilsk Nickel &amp; GMKN &amp; 25.40 &amp; 37.10 &amp; 62.50 \\</t>
  </si>
  <si>
    <t xml:space="preserve"> Purneftegaz &amp; PFGS &amp; 11.16 &amp; 31.58 &amp; 42.74 \\</t>
  </si>
  <si>
    <t xml:space="preserve"> Yukos &amp; YUKO &amp; 25.16 &amp; 13.48 &amp; 38.64 \\</t>
  </si>
  <si>
    <t xml:space="preserve"> Rusal Achinsk &amp; AGKK &amp; 12.00 &amp; 20.78 &amp; 32.78 \\</t>
  </si>
  <si>
    <t xml:space="preserve"> Sibneft &amp; SIBN &amp; 15.95 &amp; 12.49 &amp; 28.44 \\</t>
  </si>
  <si>
    <t xml:space="preserve"> Magnitogorsk Steel &amp; MAGN &amp; 4.42 &amp; 20.73 &amp; 25.15 \\</t>
  </si>
  <si>
    <t xml:space="preserve"> &amp;  &amp;  ShadowP, \% &amp;  &amp;  ShadowA, \% &amp;  &amp;  ShadowR, \% \\</t>
  </si>
  <si>
    <t xml:space="preserve"> Name &amp;  Ticker &amp;  2003 &amp;  2004 &amp;  2003 &amp;  2004 &amp;  2003 \\</t>
  </si>
  <si>
    <t xml:space="preserve"> Gazprom &amp; GAZP &amp; 6.76 &amp; 7.74 &amp; 0.62 &amp; 0.75 &amp; 2.10 \\</t>
  </si>
  <si>
    <t xml:space="preserve"> Lukoil &amp; LKOH &amp; 6. &amp; 2. &amp; 1. &amp; 0. &amp; 1. \\</t>
  </si>
  <si>
    <t xml:space="preserve"> RAO UES &amp; EESR &amp; 11. &amp; 7. &amp; 1. &amp; 0. &amp; 1. \\</t>
  </si>
  <si>
    <t xml:space="preserve"> TNK BP &amp; TNKO &amp; 7. &amp; 1. &amp; 1. &amp; 0. &amp; 2. \\</t>
  </si>
  <si>
    <t>\begin{tabular}{lccccccc}</t>
  </si>
  <si>
    <t xml:space="preserve"> &amp;  &amp;  ShadowP, \% &amp;  &amp;  ShadowA, \% &amp;  &amp;  ShadowR, \% &amp;  \\</t>
  </si>
  <si>
    <t xml:space="preserve"> Name &amp;  Ticker &amp;  2003 &amp;  2004 &amp;  2003 &amp;  2004 &amp;  2003 &amp;  2004 \\</t>
  </si>
  <si>
    <t xml:space="preserve"> Gazprom &amp; GAZP &amp; 7.9 &amp; 10.3 &amp; 0.7 &amp; 1.0 &amp; 2.2 &amp; 2.7 \\</t>
  </si>
  <si>
    <t xml:space="preserve"> Lukoil &amp; LKOH &amp; 13.5 &amp; 2.7 &amp; 4.2 &amp; 1.0 &amp; 3.6 &amp; 0.8 \\</t>
  </si>
  <si>
    <t xml:space="preserve"> RAO UES &amp; EESR &amp; 16.2 &amp; 15.5 &amp; 2.0 &amp; 1.5 &amp; 12.2 &amp; 14.5 \\</t>
  </si>
  <si>
    <t xml:space="preserve"> TNK BP &amp; TNKO &amp; 76.9 &amp; 71.9 &amp; 2.4 &amp; 0.6 &amp; 4.8 &amp; 1.1 \\</t>
  </si>
  <si>
    <t xml:space="preserve"> Sidandko &amp; SDNK &amp; 83.0 &amp; 83.0 &amp; 10.2 &amp; 0.2 &amp; 19.1 &amp; 0.9 \\</t>
  </si>
  <si>
    <t xml:space="preserve"> Rosneft &amp; ROSN &amp; 10.8 &amp; 11.1 &amp; 2.1 &amp; 0.6 &amp; 3.8 &amp; 2.7 \\</t>
  </si>
  <si>
    <t xml:space="preserve"> Slavneft &amp; SLAV &amp; 14.5 &amp; 21.2 &amp; 4.1 &amp; 9.2 &amp; 4.4 &amp; 8.4 \\</t>
  </si>
  <si>
    <t xml:space="preserve"> Mosenergo &amp; MSNG &amp; 55.4 &amp; 12.7 &amp; 3.1 &amp; 0.6 &amp; 5.7 &amp; 0.8 \\</t>
  </si>
  <si>
    <t xml:space="preserve"> Russian Railways &amp; RZHD &amp; 8.9 &amp; 11.4 &amp; 0.1 &amp; 0.2 &amp; 0.7 &amp; 0.5 \\</t>
  </si>
  <si>
    <t xml:space="preserve"> Severstal &amp; CHMF &amp; 3.1 &amp; 6.2 &amp; 1.1 &amp; 2.7 &amp; 1.0 &amp; 2.7 \\</t>
  </si>
  <si>
    <t xml:space="preserve"> Novolipetsk Steel &amp; NLMK &amp; 6.2 &amp; 2.7 &amp; 2.8 &amp; 1.6 &amp; 2.7 &amp; 1.4 \\</t>
  </si>
  <si>
    <t xml:space="preserve"> Tatneft &amp; TATN &amp; 15.2 &amp; 1.6 &amp; 2.5 &amp; 0.4 &amp; 2.5 &amp; 0.4 \\</t>
  </si>
  <si>
    <t xml:space="preserve"> Salavatnefteorgsintez &amp; SNOZ &amp; 34.8 &amp; 58.4 &amp; 6.6 &amp; 8.5 &amp; 6.3 &amp; 7.0 \\</t>
  </si>
  <si>
    <t xml:space="preserve"> Rostelecom &amp; RTKM &amp; 6.5 &amp; 14.5 &amp; 1.7 &amp; 3.7 &amp; 2.5 &amp; 4.4 \\</t>
  </si>
  <si>
    <t xml:space="preserve"> Norilsk Nickel &amp; GMKN &amp; 1.4 &amp; 1.6 &amp; 0.3 &amp; 0.4 &amp; 0.6 &amp; 0.7 \\</t>
  </si>
  <si>
    <t xml:space="preserve"> Purneftegaz &amp; PFGS &amp; 23.3 &amp; 13.8 &amp; 2.8 &amp; 0.7 &amp; 1.7 &amp; 3.3 \\</t>
  </si>
  <si>
    <t xml:space="preserve"> Yukos &amp; YUKO &amp; 2.0 &amp; 0.5 &amp; 0.1 &amp; 0.1 &amp; 10.4 &amp; 6.3 \\</t>
  </si>
  <si>
    <t xml:space="preserve"> Rusal Achinsk &amp; AGKK &amp; 79.8 &amp; 40.2 &amp; 3.4 &amp; 5.8 &amp; 4.1 &amp; 6.5 \\</t>
  </si>
  <si>
    <t xml:space="preserve"> Sibneft &amp; SIBN &amp; 10.3 &amp; 0.6 &amp; 0.3 &amp; 0.2 &amp; 0.4 &amp; 0.2 \\</t>
  </si>
  <si>
    <t xml:space="preserve"> Magnitogorsk Steel &amp; MAGN &amp; 0.5 &amp; 1.4 &amp; 0.2 &amp; 0.5 &amp; 0.1 &amp; 0.5 \\</t>
  </si>
  <si>
    <t>Big 4</t>
  </si>
  <si>
    <t>Gov control</t>
  </si>
  <si>
    <t>Traded</t>
  </si>
  <si>
    <t>c9</t>
  </si>
  <si>
    <t>c10</t>
  </si>
  <si>
    <t>c11</t>
  </si>
  <si>
    <t>c12</t>
  </si>
  <si>
    <t>controls</t>
  </si>
  <si>
    <t>Panel</t>
  </si>
  <si>
    <t>IV</t>
  </si>
  <si>
    <t>t</t>
  </si>
  <si>
    <t>Dependent variable: ShadowP</t>
  </si>
  <si>
    <t>Dependent variable: ShadowA</t>
  </si>
  <si>
    <t>Dependent variable: Sales margin</t>
  </si>
  <si>
    <t>E_small/V</t>
  </si>
  <si>
    <t>Market/Book</t>
  </si>
  <si>
    <t>ShadowR</t>
  </si>
  <si>
    <t>Open JSC</t>
  </si>
  <si>
    <t>Closed JSC and Partnerships</t>
  </si>
  <si>
    <t>Credit Leone</t>
  </si>
  <si>
    <t>Black</t>
  </si>
  <si>
    <t>Corporate governance</t>
  </si>
  <si>
    <t>Big</t>
  </si>
  <si>
    <t>Ticker</t>
  </si>
  <si>
    <t>GAZP</t>
  </si>
  <si>
    <t>LKOH</t>
  </si>
  <si>
    <t>EESR</t>
  </si>
  <si>
    <t>SLAV</t>
  </si>
  <si>
    <t>ROSN</t>
  </si>
  <si>
    <t>SDNK</t>
  </si>
  <si>
    <t>CHMF</t>
  </si>
  <si>
    <t>RZHD</t>
  </si>
  <si>
    <t>TATN</t>
  </si>
  <si>
    <t>NLMK</t>
  </si>
  <si>
    <t>GMKN</t>
  </si>
  <si>
    <t>TNKO</t>
  </si>
  <si>
    <t>MSNG</t>
  </si>
  <si>
    <t>SIBN</t>
  </si>
  <si>
    <t>PFGS</t>
  </si>
  <si>
    <t>SNOZ</t>
  </si>
  <si>
    <t>YUKO</t>
  </si>
  <si>
    <t>RTKM</t>
  </si>
  <si>
    <t>MAGN</t>
  </si>
  <si>
    <t>Gazprom</t>
  </si>
  <si>
    <t>Lukoil</t>
  </si>
  <si>
    <t>RAO UES</t>
  </si>
  <si>
    <t>Slavneft</t>
  </si>
  <si>
    <t>Rosneft</t>
  </si>
  <si>
    <t>Sidandko</t>
  </si>
  <si>
    <t>Severstal</t>
  </si>
  <si>
    <t>Russian Railways</t>
  </si>
  <si>
    <t>Tatneft</t>
  </si>
  <si>
    <t>Novolipetsk Steel</t>
  </si>
  <si>
    <t>Norilsk Nickel</t>
  </si>
  <si>
    <t>TNK BP</t>
  </si>
  <si>
    <t>Mosenergo</t>
  </si>
  <si>
    <t>Purneftegaz</t>
  </si>
  <si>
    <t>Salavatnefteorgsintez</t>
  </si>
  <si>
    <t>Yukos</t>
  </si>
  <si>
    <t>Rostelecom</t>
  </si>
  <si>
    <t>Magnitogorsk Steel</t>
  </si>
  <si>
    <t>Share of largest ind, not CEO</t>
  </si>
  <si>
    <t>2003, mln.\$</t>
  </si>
  <si>
    <t>2004, mln. \$</t>
  </si>
  <si>
    <t>Total mln. \$</t>
  </si>
  <si>
    <t>Log(assets)</t>
  </si>
  <si>
    <t>Sales\_margin</t>
  </si>
  <si>
    <t>Dependent variable: Leverage (debt/assets)</t>
  </si>
  <si>
    <t>r20</t>
  </si>
  <si>
    <t>Normal</t>
  </si>
  <si>
    <t>Spacemen</t>
  </si>
  <si>
    <t>Correlations</t>
  </si>
  <si>
    <t>Margin</t>
  </si>
  <si>
    <t>Age</t>
  </si>
  <si>
    <t>Region</t>
  </si>
  <si>
    <t>Sant Petersburg city</t>
  </si>
  <si>
    <t>Moscow city</t>
  </si>
  <si>
    <t>Total</t>
  </si>
  <si>
    <t>Arkhangelsk region</t>
  </si>
  <si>
    <t>Irkutsk region</t>
  </si>
  <si>
    <t>Ivanovo region</t>
  </si>
  <si>
    <t>Kaliningrad region</t>
  </si>
  <si>
    <t>Kamchatka region</t>
  </si>
  <si>
    <t>Kemerovo region</t>
  </si>
  <si>
    <t>Kurgan region</t>
  </si>
  <si>
    <t>Leningrad region</t>
  </si>
  <si>
    <t>Moscow region</t>
  </si>
  <si>
    <t>Novosibirsk region</t>
  </si>
  <si>
    <t>Omsk region</t>
  </si>
  <si>
    <t>Perm region</t>
  </si>
  <si>
    <t>Rostov region</t>
  </si>
  <si>
    <t>Sverdlovsk region</t>
  </si>
  <si>
    <t>Tumen region</t>
  </si>
  <si>
    <t>Khabarovsk region</t>
  </si>
  <si>
    <t>Krasnoyarsk region</t>
  </si>
  <si>
    <t>Sakhalin region</t>
  </si>
  <si>
    <t>All</t>
  </si>
  <si>
    <t xml:space="preserve">Mean gross tax rate, \% </t>
  </si>
  <si>
    <t>\% found</t>
  </si>
  <si>
    <t>Log(Rev), Log(Rev\_B)</t>
  </si>
  <si>
    <t>Margin, Margin\_B</t>
  </si>
  <si>
    <t>Margin\_B</t>
  </si>
  <si>
    <t>Profit\_B, th. \$</t>
  </si>
  <si>
    <t>Revenue\_B, th. \$</t>
  </si>
  <si>
    <t>Profit, th. \$</t>
  </si>
  <si>
    <t>Revenue, th. \$</t>
  </si>
  <si>
    <t>Big (assets &gt; \$100 million), \%</t>
  </si>
  <si>
    <t>All (RAS)</t>
  </si>
  <si>
    <t>Dependent variable: ShadowR</t>
  </si>
  <si>
    <t>Instruments:  Ceo in Board, Share largest individual, foreign on board</t>
  </si>
  <si>
    <t>Profit_B, '000s</t>
  </si>
  <si>
    <t>Revenue_B, '000s</t>
  </si>
  <si>
    <t>Profit, '000s</t>
  </si>
  <si>
    <t>Revenue, '000s</t>
  </si>
  <si>
    <t>Margin (%)</t>
  </si>
  <si>
    <t>Margin_B (%)</t>
  </si>
  <si>
    <t>Table 3 (1)</t>
  </si>
  <si>
    <t>Table 3 (2)</t>
  </si>
  <si>
    <t>Log(Rev), Log(Rev_B)</t>
  </si>
  <si>
    <t>Margin, Margin_B</t>
  </si>
  <si>
    <t>Assets, mln</t>
  </si>
  <si>
    <t>Revenue, mln.</t>
  </si>
  <si>
    <t>Profit, mln</t>
  </si>
  <si>
    <t>Sh of largest ind</t>
  </si>
  <si>
    <t>RAS only</t>
  </si>
  <si>
    <t xml:space="preserve">    Variable |       Obs        Mean    Std. Dev.       Min        Max</t>
  </si>
  <si>
    <t>-------------+--------------------------------------------------------</t>
  </si>
  <si>
    <t xml:space="preserve">   Variable |       Obs        Mean    Std. Dev.       Min        Max</t>
  </si>
  <si>
    <t>sales_margin |      9486    .0989352     .104183   9.37e-06   .886934</t>
  </si>
  <si>
    <t xml:space="preserve">     shadowA |      7856    .0237837    .0378258   1.92e-08   .1998706</t>
  </si>
  <si>
    <t xml:space="preserve">     shadowR |      8246    .0173442    .0309894   1.33e-08   .1993637</t>
  </si>
  <si>
    <t xml:space="preserve">     shadowP |      8491    .2631675    .3097677   5.92e-07   .9998493</t>
  </si>
  <si>
    <t>Table 4 (1)</t>
  </si>
  <si>
    <t>Sales margin</t>
  </si>
  <si>
    <t>Total trades (preferred stocks)</t>
  </si>
  <si>
    <t>Share of gov</t>
  </si>
  <si>
    <t>Foreinger on b</t>
  </si>
  <si>
    <t xml:space="preserve">Big </t>
  </si>
  <si>
    <t>RAS only (RAS)</t>
  </si>
  <si>
    <t>GAAP only (RAS)</t>
  </si>
  <si>
    <t>GAAP only (GAAP)</t>
  </si>
  <si>
    <t>GAAP only</t>
  </si>
  <si>
    <t>Tax=0</t>
  </si>
  <si>
    <t>Selection by net tax rate</t>
  </si>
  <si>
    <t xml:space="preserve">Selection by gross tax rate </t>
  </si>
  <si>
    <t>0\&lt;t\&lt;0.1\%</t>
  </si>
  <si>
    <t>Age, calendar days</t>
  </si>
  <si>
    <t>N of trans per month</t>
  </si>
  <si>
    <t>Funds rec. per month</t>
  </si>
  <si>
    <t>Gross tax rate</t>
  </si>
  <si>
    <t>Shadow Profit</t>
  </si>
  <si>
    <t>Shadow Assets</t>
  </si>
  <si>
    <t>Shadow Rev</t>
  </si>
  <si>
    <t>Log(Assets)</t>
  </si>
  <si>
    <t>Shadow Revenue</t>
  </si>
  <si>
    <t>Dependent Variable: Sales Margin</t>
  </si>
  <si>
    <t>Foreigner on Board</t>
  </si>
  <si>
    <t>Dependent Variable:</t>
  </si>
  <si>
    <t>Gov Control</t>
  </si>
  <si>
    <t>RAS</t>
  </si>
  <si>
    <t>Share largest indiv</t>
  </si>
  <si>
    <t>Share largest indiv * Big</t>
  </si>
  <si>
    <t>Dependent Variable: Leverage</t>
  </si>
  <si>
    <t>Shadow EBITDA</t>
  </si>
  <si>
    <t>stdev</t>
  </si>
  <si>
    <t>Table 1. Rosstat and Banking Data Correspondence Across Regions</t>
  </si>
  <si>
    <t>Table 2. Summary Statistics of Rosstat/Bank Matched Subsample</t>
  </si>
  <si>
    <t>r21</t>
  </si>
  <si>
    <t>Log(Profit), Log(Profit\_B)</t>
  </si>
  <si>
    <t>Summary</t>
  </si>
  <si>
    <t>r_rev</t>
  </si>
  <si>
    <t>rev</t>
  </si>
  <si>
    <t>Regular</t>
  </si>
  <si>
    <t>AGKK</t>
  </si>
  <si>
    <t>Rusal Achinsk</t>
  </si>
  <si>
    <t>.</t>
  </si>
  <si>
    <t>NaN</t>
  </si>
  <si>
    <t>ShadowEBITDA</t>
  </si>
  <si>
    <t xml:space="preserve">   r_shadowP |       296    .1852656    .2535073          0   .9978343</t>
  </si>
  <si>
    <t xml:space="preserve">   r_shadowR |       305    .0176509    .0283608          0   .1949279</t>
  </si>
  <si>
    <t xml:space="preserve">   r_shadowA |       325    .0159023    .0264332          0   .1654561</t>
  </si>
  <si>
    <t xml:space="preserve">   r_shadowL |       294    .1254408    .1929247   1.56e-06   .9590145</t>
  </si>
  <si>
    <t xml:space="preserve">       r_lev |       302    .2190107    .1856439   .0000732   .8007522</t>
  </si>
  <si>
    <t xml:space="preserve">. </t>
  </si>
  <si>
    <t>Header</t>
  </si>
  <si>
    <t>Columns</t>
  </si>
  <si>
    <t>Body</t>
  </si>
  <si>
    <t>Bottom</t>
  </si>
  <si>
    <t>\begin{tabular}{lcccccc}</t>
  </si>
  <si>
    <t xml:space="preserve">\hline\hline </t>
  </si>
  <si>
    <t xml:space="preserve"> &amp;  All,  &amp;  All,  &amp;  All,  &amp;  Regular &amp;  Regular &amp;  Space- \\</t>
  </si>
  <si>
    <t xml:space="preserve"> Variable &amp;  (1) &amp;  (2) &amp;  (3) &amp;  (4) &amp;  (5) &amp;  (6) \\</t>
  </si>
  <si>
    <t xml:space="preserve"> \hline </t>
  </si>
  <si>
    <t xml:space="preserve"> N &amp; 207,176 &amp; 78,049 &amp; 129,127 &amp; 100,313 &amp; 57,996 &amp; 42,483 \\</t>
  </si>
  <si>
    <t xml:space="preserve"> \% presented before 1.20.03  &amp; 44.56 &amp; 50.36 &amp; 41.06 &amp; 61.94 &amp; 60.11 &amp; 18.68 \\</t>
  </si>
  <si>
    <t xml:space="preserve"> \% presented after 12.15.04 &amp; 70.46 &amp; 73.15 &amp; 68.84 &amp; 83.09 &amp; 82.40 &amp; 52.24 \\</t>
  </si>
  <si>
    <t>\begin{tabular} {lcccccc}</t>
  </si>
  <si>
    <t>Dependent variable: Sales margin &amp;  &amp;  &amp;  &amp;  &amp;  &amp;  \\</t>
  </si>
  <si>
    <t xml:space="preserve"> &amp; (1) &amp; (2) &amp; (3) &amp; (4) &amp; (5) &amp; (6) \\</t>
  </si>
  <si>
    <t>ShadowP &amp; -0.207 &amp; &amp; &amp; -0.08 &amp; &amp; \\</t>
  </si>
  <si>
    <t xml:space="preserve"> &amp;  (0.042) \ast \ast \ast  &amp; &amp; &amp;  (0.003) \ast \ast \ast  &amp; &amp; \\</t>
  </si>
  <si>
    <t>ShadowA &amp; &amp; -0.754 &amp; &amp; &amp; -0.076 &amp; \\</t>
  </si>
  <si>
    <t xml:space="preserve"> &amp; &amp;  (0.378) \ast \ast  &amp; &amp; &amp;  (0.026) \ast \ast \ast  &amp; \\</t>
  </si>
  <si>
    <t>ShadowR &amp; &amp; &amp; -0.502 &amp; &amp; &amp; -0.093 \\</t>
  </si>
  <si>
    <t xml:space="preserve"> &amp; &amp; &amp;  (0.213) \ast \ast  &amp; &amp; &amp;  (0.03) \ast \ast \ast  \\</t>
  </si>
  <si>
    <t xml:space="preserve"> Controls &amp; 0 &amp; 0 &amp; 0 &amp; 0 &amp; 0 &amp; 0 \\</t>
  </si>
  <si>
    <t xml:space="preserve"> Log(Assets) &amp;  Y &amp;  Y &amp;  Y &amp;  Y &amp;  Y &amp;  Y \\</t>
  </si>
  <si>
    <t xml:space="preserve"> Industry &amp;  Y &amp;  Y &amp;  Y &amp;  Y &amp;  Y &amp;  Y \\</t>
  </si>
  <si>
    <t xml:space="preserve"> R-sq &amp; 0 &amp; 0 &amp; 0 &amp; 0 &amp; 0 &amp; 0 \\</t>
  </si>
  <si>
    <t xml:space="preserve"> within &amp; 0.041 &amp; 0.014 &amp; 0.089 &amp; 0.048 &amp; 0.009 &amp; 0.01 \\</t>
  </si>
  <si>
    <t xml:space="preserve"> between &amp; 0.362 &amp; 0.29 &amp; 0.307 &amp; 0.267 &amp; 0.185 &amp; 0.192 \\</t>
  </si>
  <si>
    <t xml:space="preserve"> overall &amp; 0.28 &amp; 0.22 &amp; 0.26 &amp; 0.261 &amp; 0.182 &amp; 0.19 \\</t>
  </si>
  <si>
    <t xml:space="preserve"> Number of obs &amp; 295 &amp; 322 &amp; 304 &amp; 8490 &amp; 7855 &amp; 8245 \\</t>
  </si>
  <si>
    <t xml:space="preserve"> Number of groups  &amp; 165 &amp; 175 &amp; 164 &amp; 4951 &amp; 4708 &amp; 4873 \\</t>
  </si>
  <si>
    <t>Main sample. All (RAS)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</si>
</sst>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_(&quot;$&quot;* #,##0.0000_);_(&quot;$&quot;* \(#,##0.0000\);_(&quot;$&quot;* &quot;-&quot;????_);_(@_)"/>
    <numFmt numFmtId="174" formatCode="0.0"/>
    <numFmt numFmtId="175" formatCode="&quot;$&quot;#,##0.00"/>
    <numFmt numFmtId="176" formatCode="0.0%"/>
    <numFmt numFmtId="177" formatCode="_(&quot;$&quot;* #,##0.0_);_(&quot;$&quot;* \(#,##0.0\);_(&quot;$&quot;* &quot;-&quot;?_);_(@_)"/>
    <numFmt numFmtId="178" formatCode="_(* #,##0.0_);_(* \(#,##0.0\);_(* &quot;-&quot;?_);_(@_)"/>
    <numFmt numFmtId="179" formatCode="0.000"/>
    <numFmt numFmtId="180" formatCode="m/d/yy;@"/>
    <numFmt numFmtId="181" formatCode="#,##0.0_);\(#,##0.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%"/>
  </numFmts>
  <fonts count="8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4"/>
      <name val="Tahoma"/>
      <family val="2"/>
    </font>
    <font>
      <sz val="12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70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0" fontId="0" fillId="0" borderId="0" xfId="0" applyNumberFormat="1" applyAlignment="1">
      <alignment/>
    </xf>
    <xf numFmtId="174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2" fillId="0" borderId="0" xfId="0" applyNumberFormat="1" applyFont="1" applyAlignment="1">
      <alignment wrapText="1"/>
    </xf>
    <xf numFmtId="11" fontId="0" fillId="0" borderId="0" xfId="0" applyNumberFormat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170" fontId="2" fillId="0" borderId="0" xfId="0" applyNumberFormat="1" applyFont="1" applyAlignment="1">
      <alignment wrapText="1"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177" fontId="0" fillId="0" borderId="0" xfId="0" applyNumberFormat="1" applyAlignment="1">
      <alignment/>
    </xf>
    <xf numFmtId="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 wrapText="1"/>
    </xf>
    <xf numFmtId="9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174" fontId="0" fillId="2" borderId="0" xfId="0" applyNumberFormat="1" applyFill="1" applyAlignment="1">
      <alignment/>
    </xf>
    <xf numFmtId="1" fontId="1" fillId="2" borderId="0" xfId="0" applyNumberFormat="1" applyFont="1" applyFill="1" applyAlignment="1">
      <alignment/>
    </xf>
    <xf numFmtId="0" fontId="0" fillId="2" borderId="0" xfId="0" applyFill="1" applyBorder="1" applyAlignment="1">
      <alignment horizontal="center"/>
    </xf>
    <xf numFmtId="177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8" fontId="0" fillId="2" borderId="0" xfId="0" applyNumberFormat="1" applyFill="1" applyBorder="1" applyAlignment="1">
      <alignment horizontal="right" wrapText="1"/>
    </xf>
    <xf numFmtId="9" fontId="0" fillId="2" borderId="0" xfId="0" applyNumberFormat="1" applyFill="1" applyBorder="1" applyAlignment="1">
      <alignment wrapText="1"/>
    </xf>
    <xf numFmtId="176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 vertical="center" wrapText="1"/>
    </xf>
    <xf numFmtId="10" fontId="0" fillId="2" borderId="0" xfId="0" applyNumberFormat="1" applyFill="1" applyBorder="1" applyAlignment="1">
      <alignment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7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7" fillId="0" borderId="0" xfId="0" applyFont="1" applyAlignment="1">
      <alignment/>
    </xf>
    <xf numFmtId="186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/>
  <dimension ref="A1:F28"/>
  <sheetViews>
    <sheetView workbookViewId="0" topLeftCell="A6">
      <selection activeCell="A27" sqref="A27"/>
    </sheetView>
  </sheetViews>
  <sheetFormatPr defaultColWidth="9.00390625" defaultRowHeight="12.75"/>
  <cols>
    <col min="1" max="1" width="21.375" style="0" customWidth="1"/>
  </cols>
  <sheetData>
    <row r="1" spans="1:4" ht="12">
      <c r="A1" t="s">
        <v>1698</v>
      </c>
      <c r="B1">
        <v>1</v>
      </c>
      <c r="C1" t="s">
        <v>1699</v>
      </c>
      <c r="D1">
        <v>1</v>
      </c>
    </row>
    <row r="2" spans="1:2" ht="12">
      <c r="A2" t="s">
        <v>1700</v>
      </c>
      <c r="B2">
        <v>20</v>
      </c>
    </row>
    <row r="3" spans="1:2" ht="12">
      <c r="A3" t="s">
        <v>1701</v>
      </c>
      <c r="B3">
        <v>1</v>
      </c>
    </row>
    <row r="5" ht="12">
      <c r="A5" t="s">
        <v>1679</v>
      </c>
    </row>
    <row r="6" spans="1:2" ht="12">
      <c r="A6" t="s">
        <v>1588</v>
      </c>
      <c r="B6" t="s">
        <v>1612</v>
      </c>
    </row>
    <row r="7" spans="1:2" ht="12">
      <c r="A7" s="25" t="s">
        <v>1592</v>
      </c>
      <c r="B7" s="24">
        <v>83.15789473684211</v>
      </c>
    </row>
    <row r="8" spans="1:2" ht="12">
      <c r="A8" s="25" t="s">
        <v>1593</v>
      </c>
      <c r="B8" s="24">
        <v>71.875</v>
      </c>
    </row>
    <row r="9" spans="1:2" ht="12">
      <c r="A9" s="25" t="s">
        <v>1594</v>
      </c>
      <c r="B9" s="24">
        <v>66.66666666666666</v>
      </c>
    </row>
    <row r="10" spans="1:2" ht="12">
      <c r="A10" s="25" t="s">
        <v>1595</v>
      </c>
      <c r="B10" s="24">
        <v>66.3157894736842</v>
      </c>
    </row>
    <row r="11" spans="1:2" ht="12">
      <c r="A11" s="25" t="s">
        <v>1596</v>
      </c>
      <c r="B11" s="24">
        <v>84.375</v>
      </c>
    </row>
    <row r="12" spans="1:2" ht="12">
      <c r="A12" s="25" t="s">
        <v>1597</v>
      </c>
      <c r="B12" s="24">
        <v>65.625</v>
      </c>
    </row>
    <row r="13" spans="1:6" ht="12">
      <c r="A13" s="25" t="s">
        <v>1607</v>
      </c>
      <c r="B13" s="24">
        <v>65.625</v>
      </c>
      <c r="F13">
        <f>58/38</f>
        <v>1.5263157894736843</v>
      </c>
    </row>
    <row r="14" spans="1:2" ht="12">
      <c r="A14" s="25" t="s">
        <v>1608</v>
      </c>
      <c r="B14" s="24">
        <v>57.89473684210527</v>
      </c>
    </row>
    <row r="15" spans="1:6" ht="12">
      <c r="A15" s="25" t="s">
        <v>1598</v>
      </c>
      <c r="B15" s="24">
        <v>44.79166666666667</v>
      </c>
      <c r="F15">
        <f>2/15</f>
        <v>0.13333333333333333</v>
      </c>
    </row>
    <row r="16" spans="1:2" ht="12">
      <c r="A16" s="25" t="s">
        <v>1599</v>
      </c>
      <c r="B16" s="24">
        <v>61.05263157894737</v>
      </c>
    </row>
    <row r="17" spans="1:2" ht="12">
      <c r="A17" s="25" t="s">
        <v>1590</v>
      </c>
      <c r="B17" s="24">
        <v>91.66666666666666</v>
      </c>
    </row>
    <row r="18" spans="1:2" ht="12">
      <c r="A18" s="25" t="s">
        <v>1600</v>
      </c>
      <c r="B18" s="24">
        <v>89.58333333333334</v>
      </c>
    </row>
    <row r="19" spans="1:2" ht="12">
      <c r="A19" s="25" t="s">
        <v>1601</v>
      </c>
      <c r="B19" s="24">
        <v>58.333333333333336</v>
      </c>
    </row>
    <row r="20" spans="1:2" ht="12">
      <c r="A20" s="25" t="s">
        <v>1602</v>
      </c>
      <c r="B20" s="24">
        <v>64.58333333333334</v>
      </c>
    </row>
    <row r="21" spans="1:2" ht="12">
      <c r="A21" s="25" t="s">
        <v>1603</v>
      </c>
      <c r="B21" s="24">
        <v>81.91489361702128</v>
      </c>
    </row>
    <row r="22" spans="1:4" ht="12">
      <c r="A22" s="25" t="s">
        <v>1604</v>
      </c>
      <c r="B22" s="24">
        <v>53.125</v>
      </c>
      <c r="D22">
        <v>100</v>
      </c>
    </row>
    <row r="23" spans="1:2" ht="12">
      <c r="A23" s="25" t="s">
        <v>1609</v>
      </c>
      <c r="B23" s="24">
        <v>78.125</v>
      </c>
    </row>
    <row r="24" spans="1:2" ht="12">
      <c r="A24" s="25" t="s">
        <v>1589</v>
      </c>
      <c r="B24" s="24">
        <v>71.875</v>
      </c>
    </row>
    <row r="25" spans="1:2" ht="12">
      <c r="A25" s="25" t="s">
        <v>1605</v>
      </c>
      <c r="B25" s="24">
        <v>58.333333333333336</v>
      </c>
    </row>
    <row r="26" spans="1:2" ht="12">
      <c r="A26" s="25" t="s">
        <v>1606</v>
      </c>
      <c r="B26" s="24">
        <v>72.91666666666666</v>
      </c>
    </row>
    <row r="27" spans="1:2" ht="12">
      <c r="A27" s="25" t="s">
        <v>1591</v>
      </c>
      <c r="B27" s="24">
        <v>69</v>
      </c>
    </row>
    <row r="28" ht="12">
      <c r="B28" s="26">
        <f>AVERAGE(B7:B16,B19:B26)</f>
        <v>67.03255256936669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7"/>
  <dimension ref="A1:F38"/>
  <sheetViews>
    <sheetView workbookViewId="0" topLeftCell="A4">
      <selection activeCell="B21" sqref="B21"/>
    </sheetView>
  </sheetViews>
  <sheetFormatPr defaultColWidth="9.00390625" defaultRowHeight="12.75"/>
  <cols>
    <col min="1" max="1" width="30.875" style="0" customWidth="1"/>
  </cols>
  <sheetData>
    <row r="1" spans="1:4" ht="12">
      <c r="A1" t="s">
        <v>1698</v>
      </c>
      <c r="B1">
        <v>2</v>
      </c>
      <c r="C1" t="s">
        <v>1699</v>
      </c>
      <c r="D1">
        <v>2</v>
      </c>
    </row>
    <row r="2" spans="1:2" ht="12">
      <c r="A2" t="s">
        <v>1700</v>
      </c>
      <c r="B2">
        <v>9</v>
      </c>
    </row>
    <row r="3" spans="1:2" ht="12">
      <c r="A3" t="s">
        <v>1701</v>
      </c>
      <c r="B3">
        <v>0</v>
      </c>
    </row>
    <row r="5" ht="12">
      <c r="A5" t="s">
        <v>1000</v>
      </c>
    </row>
    <row r="6" spans="2:4" ht="12">
      <c r="B6">
        <v>2003</v>
      </c>
      <c r="D6">
        <v>2004</v>
      </c>
    </row>
    <row r="7" spans="2:5" ht="12">
      <c r="B7" s="1" t="s">
        <v>969</v>
      </c>
      <c r="C7" s="1" t="s">
        <v>970</v>
      </c>
      <c r="D7" s="1" t="s">
        <v>969</v>
      </c>
      <c r="E7" s="1" t="s">
        <v>970</v>
      </c>
    </row>
    <row r="8" spans="1:5" ht="12">
      <c r="A8" t="s">
        <v>1176</v>
      </c>
      <c r="B8" s="14" t="s">
        <v>668</v>
      </c>
      <c r="C8" s="14" t="s">
        <v>669</v>
      </c>
      <c r="D8" s="14" t="s">
        <v>1264</v>
      </c>
      <c r="E8" s="14" t="s">
        <v>1265</v>
      </c>
    </row>
    <row r="9" spans="1:6" ht="12">
      <c r="A9" s="18" t="s">
        <v>320</v>
      </c>
      <c r="B9" s="20">
        <f aca="true" t="shared" si="0" ref="B9:E11">B20/30/10^6</f>
        <v>60.56666666666666</v>
      </c>
      <c r="C9" s="20">
        <f t="shared" si="0"/>
        <v>408.3333333333333</v>
      </c>
      <c r="D9" s="20">
        <f t="shared" si="0"/>
        <v>78.26666666666667</v>
      </c>
      <c r="E9" s="20">
        <f t="shared" si="0"/>
        <v>499</v>
      </c>
      <c r="F9">
        <v>1</v>
      </c>
    </row>
    <row r="10" spans="1:6" ht="12">
      <c r="A10" s="18" t="s">
        <v>321</v>
      </c>
      <c r="B10" s="20">
        <f t="shared" si="0"/>
        <v>57.4</v>
      </c>
      <c r="C10" s="20">
        <f t="shared" si="0"/>
        <v>249.73333333333335</v>
      </c>
      <c r="D10" s="20">
        <f t="shared" si="0"/>
        <v>78.73333333333333</v>
      </c>
      <c r="E10" s="20">
        <f t="shared" si="0"/>
        <v>355.3333333333333</v>
      </c>
      <c r="F10">
        <v>1</v>
      </c>
    </row>
    <row r="11" spans="1:6" ht="12">
      <c r="A11" t="s">
        <v>322</v>
      </c>
      <c r="B11" s="20">
        <f t="shared" si="0"/>
        <v>7.413333333333333</v>
      </c>
      <c r="C11" s="20">
        <f t="shared" si="0"/>
        <v>72.53333333333333</v>
      </c>
      <c r="D11" s="20">
        <f t="shared" si="0"/>
        <v>11.466666666666667</v>
      </c>
      <c r="E11" s="20">
        <f t="shared" si="0"/>
        <v>103.03333333333333</v>
      </c>
      <c r="F11">
        <v>1</v>
      </c>
    </row>
    <row r="12" spans="1:6" ht="12">
      <c r="A12" t="s">
        <v>330</v>
      </c>
      <c r="B12" s="17">
        <f aca="true" t="shared" si="1" ref="B12:E14">B23*100</f>
        <v>16.985225</v>
      </c>
      <c r="C12" s="17">
        <f t="shared" si="1"/>
        <v>20.549131000000003</v>
      </c>
      <c r="D12" s="17">
        <f t="shared" si="1"/>
        <v>18.133588</v>
      </c>
      <c r="E12" s="17">
        <f t="shared" si="1"/>
        <v>20.996994</v>
      </c>
      <c r="F12">
        <v>2</v>
      </c>
    </row>
    <row r="13" spans="1:6" ht="12">
      <c r="A13" t="s">
        <v>331</v>
      </c>
      <c r="B13" s="17">
        <f t="shared" si="1"/>
        <v>9.060924</v>
      </c>
      <c r="C13" s="17">
        <f t="shared" si="1"/>
        <v>10.130372</v>
      </c>
      <c r="D13" s="17">
        <f t="shared" si="1"/>
        <v>9.180074000000001</v>
      </c>
      <c r="E13" s="17">
        <f t="shared" si="1"/>
        <v>10.41656</v>
      </c>
      <c r="F13">
        <v>2</v>
      </c>
    </row>
    <row r="14" spans="1:6" ht="12">
      <c r="A14" s="18" t="s">
        <v>323</v>
      </c>
      <c r="B14" s="17">
        <f t="shared" si="1"/>
        <v>26.053686999999996</v>
      </c>
      <c r="C14" s="17">
        <f t="shared" si="1"/>
        <v>30.573985999999998</v>
      </c>
      <c r="D14" s="17">
        <f t="shared" si="1"/>
        <v>26.192528999999997</v>
      </c>
      <c r="E14" s="17">
        <f t="shared" si="1"/>
        <v>30.508634</v>
      </c>
      <c r="F14">
        <v>2</v>
      </c>
    </row>
    <row r="15" spans="1:6" ht="12">
      <c r="A15" s="18" t="s">
        <v>324</v>
      </c>
      <c r="B15" s="17">
        <f aca="true" t="shared" si="2" ref="B15:E16">B26*100</f>
        <v>3.542171</v>
      </c>
      <c r="C15" s="17">
        <f t="shared" si="2"/>
        <v>6.072915999999999</v>
      </c>
      <c r="D15" s="17">
        <f t="shared" si="2"/>
        <v>3.7375079999999996</v>
      </c>
      <c r="E15" s="17">
        <f t="shared" si="2"/>
        <v>6.22975</v>
      </c>
      <c r="F15">
        <v>2</v>
      </c>
    </row>
    <row r="16" spans="1:6" ht="12">
      <c r="A16" s="18" t="s">
        <v>325</v>
      </c>
      <c r="B16" s="17">
        <f t="shared" si="2"/>
        <v>1.8498359999999998</v>
      </c>
      <c r="C16" s="17">
        <f t="shared" si="2"/>
        <v>3.11281</v>
      </c>
      <c r="D16" s="17">
        <f t="shared" si="2"/>
        <v>2.015205</v>
      </c>
      <c r="E16" s="17">
        <f t="shared" si="2"/>
        <v>3.252161</v>
      </c>
      <c r="F16">
        <v>2</v>
      </c>
    </row>
    <row r="17" spans="1:6" ht="12">
      <c r="A17" t="s">
        <v>315</v>
      </c>
      <c r="B17">
        <f>B28</f>
        <v>4910</v>
      </c>
      <c r="D17">
        <f>D28</f>
        <v>4969</v>
      </c>
      <c r="F17">
        <v>0</v>
      </c>
    </row>
    <row r="19" spans="2:5" ht="12">
      <c r="B19" t="s">
        <v>1154</v>
      </c>
      <c r="C19" t="s">
        <v>1155</v>
      </c>
      <c r="D19" t="s">
        <v>1156</v>
      </c>
      <c r="E19" t="s">
        <v>1157</v>
      </c>
    </row>
    <row r="20" spans="1:5" ht="12">
      <c r="A20" t="s">
        <v>1158</v>
      </c>
      <c r="B20" s="11">
        <v>1817000000</v>
      </c>
      <c r="C20" s="11">
        <v>12250000000</v>
      </c>
      <c r="D20" s="11">
        <v>2348000000</v>
      </c>
      <c r="E20" s="11">
        <v>14970000000</v>
      </c>
    </row>
    <row r="21" spans="1:5" ht="12">
      <c r="A21" t="s">
        <v>1159</v>
      </c>
      <c r="B21" s="11">
        <v>1722000000</v>
      </c>
      <c r="C21" s="11">
        <v>7492000000</v>
      </c>
      <c r="D21" s="11">
        <v>2362000000</v>
      </c>
      <c r="E21" s="11">
        <v>10660000000</v>
      </c>
    </row>
    <row r="22" spans="1:5" ht="12">
      <c r="A22" t="s">
        <v>1160</v>
      </c>
      <c r="B22" s="11">
        <v>222400000</v>
      </c>
      <c r="C22" s="11">
        <v>2176000000</v>
      </c>
      <c r="D22" s="11">
        <v>344000000</v>
      </c>
      <c r="E22" s="11">
        <v>3091000000</v>
      </c>
    </row>
    <row r="23" spans="1:5" ht="12">
      <c r="A23" t="s">
        <v>1161</v>
      </c>
      <c r="B23">
        <v>0.16985225</v>
      </c>
      <c r="C23">
        <v>0.20549131</v>
      </c>
      <c r="D23">
        <v>0.18133588</v>
      </c>
      <c r="E23">
        <v>0.20996994</v>
      </c>
    </row>
    <row r="24" spans="1:5" ht="12">
      <c r="A24" t="s">
        <v>1162</v>
      </c>
      <c r="B24">
        <v>0.09060924</v>
      </c>
      <c r="C24">
        <v>0.10130372</v>
      </c>
      <c r="D24">
        <v>0.09180074</v>
      </c>
      <c r="E24">
        <v>0.1041656</v>
      </c>
    </row>
    <row r="25" spans="1:5" ht="12">
      <c r="A25" t="s">
        <v>1163</v>
      </c>
      <c r="B25">
        <v>0.26053687</v>
      </c>
      <c r="C25">
        <v>0.30573986</v>
      </c>
      <c r="D25">
        <v>0.26192529</v>
      </c>
      <c r="E25">
        <v>0.30508634</v>
      </c>
    </row>
    <row r="26" spans="1:5" ht="12">
      <c r="A26" t="s">
        <v>1164</v>
      </c>
      <c r="B26">
        <v>0.03542171</v>
      </c>
      <c r="C26">
        <v>0.06072916</v>
      </c>
      <c r="D26">
        <v>0.03737508</v>
      </c>
      <c r="E26">
        <v>0.0622975</v>
      </c>
    </row>
    <row r="27" spans="1:5" ht="12">
      <c r="A27" t="s">
        <v>1165</v>
      </c>
      <c r="B27">
        <v>0.01849836</v>
      </c>
      <c r="C27">
        <v>0.0311281</v>
      </c>
      <c r="D27">
        <v>0.02015205</v>
      </c>
      <c r="E27">
        <v>0.03252161</v>
      </c>
    </row>
    <row r="28" spans="1:5" ht="12">
      <c r="A28" t="s">
        <v>1166</v>
      </c>
      <c r="B28">
        <v>4910</v>
      </c>
      <c r="C28">
        <v>0</v>
      </c>
      <c r="D28">
        <v>4969</v>
      </c>
      <c r="E28">
        <v>0</v>
      </c>
    </row>
    <row r="30" ht="12">
      <c r="A30" t="s">
        <v>1168</v>
      </c>
    </row>
    <row r="31" ht="12">
      <c r="A31" t="s">
        <v>1169</v>
      </c>
    </row>
    <row r="32" ht="12">
      <c r="A32" t="s">
        <v>1170</v>
      </c>
    </row>
    <row r="33" ht="12">
      <c r="A33" t="s">
        <v>1171</v>
      </c>
    </row>
    <row r="34" ht="12">
      <c r="A34" t="s">
        <v>1172</v>
      </c>
    </row>
    <row r="35" ht="12">
      <c r="A35" t="s">
        <v>1173</v>
      </c>
    </row>
    <row r="36" ht="12">
      <c r="A36" t="s">
        <v>1174</v>
      </c>
    </row>
    <row r="37" ht="12">
      <c r="A37" t="s">
        <v>1175</v>
      </c>
    </row>
    <row r="38" ht="12">
      <c r="A38" t="s">
        <v>1254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5"/>
  <dimension ref="A1:S75"/>
  <sheetViews>
    <sheetView workbookViewId="0" topLeftCell="A1">
      <selection activeCell="B8" sqref="B8:M8"/>
    </sheetView>
  </sheetViews>
  <sheetFormatPr defaultColWidth="9.00390625" defaultRowHeight="12.75"/>
  <cols>
    <col min="1" max="1" width="12.125" style="0" customWidth="1"/>
    <col min="16" max="16" width="15.00390625" style="0" customWidth="1"/>
    <col min="17" max="17" width="11.875" style="0" customWidth="1"/>
    <col min="18" max="18" width="11.00390625" style="0" customWidth="1"/>
    <col min="19" max="19" width="13.00390625" style="0" customWidth="1"/>
  </cols>
  <sheetData>
    <row r="1" spans="1:4" ht="12">
      <c r="A1" t="s">
        <v>1698</v>
      </c>
      <c r="B1">
        <v>3</v>
      </c>
      <c r="C1" t="s">
        <v>1699</v>
      </c>
      <c r="D1">
        <v>6</v>
      </c>
    </row>
    <row r="2" spans="1:2" ht="12">
      <c r="A2" t="s">
        <v>1700</v>
      </c>
      <c r="B2">
        <v>3</v>
      </c>
    </row>
    <row r="3" spans="1:2" ht="12">
      <c r="A3" t="s">
        <v>1701</v>
      </c>
      <c r="B3">
        <v>9</v>
      </c>
    </row>
    <row r="5" ht="12">
      <c r="A5" t="s">
        <v>48</v>
      </c>
    </row>
    <row r="6" spans="1:16" ht="12">
      <c r="A6" t="s">
        <v>1527</v>
      </c>
      <c r="P6" t="str">
        <f>TEXT(H9,"0.00")</f>
        <v>-0.08</v>
      </c>
    </row>
    <row r="7" spans="2:8" ht="12">
      <c r="B7" t="s">
        <v>1728</v>
      </c>
      <c r="H7" t="s">
        <v>1364</v>
      </c>
    </row>
    <row r="8" spans="2:19" ht="18" customHeight="1">
      <c r="B8" s="14" t="s">
        <v>668</v>
      </c>
      <c r="C8" s="14" t="s">
        <v>1524</v>
      </c>
      <c r="D8" s="14" t="s">
        <v>669</v>
      </c>
      <c r="E8" s="14" t="s">
        <v>1524</v>
      </c>
      <c r="F8" s="14" t="s">
        <v>1264</v>
      </c>
      <c r="G8" s="14" t="s">
        <v>1524</v>
      </c>
      <c r="H8" s="14" t="s">
        <v>1265</v>
      </c>
      <c r="I8" s="14" t="s">
        <v>1524</v>
      </c>
      <c r="J8" s="14" t="s">
        <v>1365</v>
      </c>
      <c r="K8" s="14" t="s">
        <v>1524</v>
      </c>
      <c r="L8" s="14" t="s">
        <v>1366</v>
      </c>
      <c r="M8" s="14" t="s">
        <v>1524</v>
      </c>
      <c r="Q8" s="62" t="s">
        <v>1669</v>
      </c>
      <c r="R8" s="62"/>
      <c r="S8" s="62"/>
    </row>
    <row r="9" spans="1:17" ht="24.75">
      <c r="A9" t="s">
        <v>1367</v>
      </c>
      <c r="B9" s="21">
        <f>B21</f>
        <v>-0.18769575</v>
      </c>
      <c r="C9" s="21">
        <f>C21</f>
        <v>-6.1036749</v>
      </c>
      <c r="D9" s="21"/>
      <c r="E9" s="21"/>
      <c r="F9" s="21"/>
      <c r="G9" s="21"/>
      <c r="H9" s="21">
        <f>J21</f>
        <v>-0.07969758</v>
      </c>
      <c r="I9" s="21">
        <f>K21</f>
        <v>-26.914611</v>
      </c>
      <c r="J9" s="21"/>
      <c r="K9" s="21"/>
      <c r="L9" s="21"/>
      <c r="M9" s="21"/>
      <c r="N9">
        <v>2</v>
      </c>
      <c r="P9" s="49" t="s">
        <v>1664</v>
      </c>
      <c r="Q9" s="42" t="str">
        <f>CONCATENATE(TEXT(B9,"0.000"),"    (",TEXT(B9/C9,"0.000"),")***")</f>
        <v>-0.188    (0.031)***</v>
      </c>
    </row>
    <row r="10" spans="1:18" ht="24.75">
      <c r="A10" s="18" t="s">
        <v>1368</v>
      </c>
      <c r="B10" s="21"/>
      <c r="C10" s="21"/>
      <c r="D10" s="21">
        <f>D22</f>
        <v>-0.67253939</v>
      </c>
      <c r="E10" s="21">
        <f>E22</f>
        <v>-2.2652215</v>
      </c>
      <c r="F10" s="21"/>
      <c r="G10" s="21"/>
      <c r="H10" s="21"/>
      <c r="I10" s="21"/>
      <c r="J10" s="21">
        <f>L22</f>
        <v>-0.05693157</v>
      </c>
      <c r="K10" s="21">
        <f>M22</f>
        <v>-3.8593975</v>
      </c>
      <c r="L10" s="21"/>
      <c r="M10" s="21"/>
      <c r="N10">
        <v>2</v>
      </c>
      <c r="P10" s="50" t="s">
        <v>1665</v>
      </c>
      <c r="R10" s="42" t="str">
        <f>CONCATENATE(TEXT(D10,"0.000"),"    (",TEXT(D10/E10,"0.000"),")**")</f>
        <v>-0.673    (0.297)**</v>
      </c>
    </row>
    <row r="11" spans="1:19" ht="24.75">
      <c r="A11" s="18" t="s">
        <v>1530</v>
      </c>
      <c r="B11" s="21"/>
      <c r="C11" s="21"/>
      <c r="D11" s="21"/>
      <c r="E11" s="21"/>
      <c r="F11" s="21">
        <f>F23</f>
        <v>-0.37571072</v>
      </c>
      <c r="G11" s="21">
        <f>G23</f>
        <v>-2.4176244</v>
      </c>
      <c r="H11" s="21"/>
      <c r="I11" s="21"/>
      <c r="J11" s="21"/>
      <c r="K11" s="21"/>
      <c r="L11" s="21">
        <f>N23</f>
        <v>-0.08254339</v>
      </c>
      <c r="M11" s="21">
        <f>O23</f>
        <v>-3.1018841</v>
      </c>
      <c r="N11">
        <v>2</v>
      </c>
      <c r="P11" s="50" t="s">
        <v>1668</v>
      </c>
      <c r="S11" s="42" t="str">
        <f>CONCATENATE(TEXT(F11,"0.000"),"    (",TEXT(F11/G11,"0.000"),")**")</f>
        <v>-0.376    (0.155)**</v>
      </c>
    </row>
    <row r="12" spans="1:16" ht="12">
      <c r="A12" t="s">
        <v>1369</v>
      </c>
      <c r="M12" s="21"/>
      <c r="P12" t="s">
        <v>1369</v>
      </c>
    </row>
    <row r="13" spans="1:19" ht="12">
      <c r="A13" t="s">
        <v>1667</v>
      </c>
      <c r="B13" t="s">
        <v>1381</v>
      </c>
      <c r="C13" s="21"/>
      <c r="D13" s="21" t="s">
        <v>1381</v>
      </c>
      <c r="E13" s="21"/>
      <c r="F13" t="s">
        <v>1381</v>
      </c>
      <c r="G13" s="21"/>
      <c r="H13" s="21" t="s">
        <v>1381</v>
      </c>
      <c r="I13" s="21"/>
      <c r="J13" t="s">
        <v>1381</v>
      </c>
      <c r="K13" s="21"/>
      <c r="L13" s="21" t="s">
        <v>1381</v>
      </c>
      <c r="P13" t="s">
        <v>1667</v>
      </c>
      <c r="Q13" s="51" t="s">
        <v>1381</v>
      </c>
      <c r="R13" s="51" t="s">
        <v>1381</v>
      </c>
      <c r="S13" s="51" t="s">
        <v>1381</v>
      </c>
    </row>
    <row r="14" spans="1:19" ht="12">
      <c r="A14" t="s">
        <v>1370</v>
      </c>
      <c r="B14" t="s">
        <v>1381</v>
      </c>
      <c r="C14" s="21"/>
      <c r="D14" s="21" t="s">
        <v>1381</v>
      </c>
      <c r="E14" s="21"/>
      <c r="F14" t="s">
        <v>1381</v>
      </c>
      <c r="G14" s="21"/>
      <c r="H14" s="21" t="s">
        <v>1381</v>
      </c>
      <c r="I14" s="21"/>
      <c r="J14" t="s">
        <v>1381</v>
      </c>
      <c r="K14" s="21"/>
      <c r="L14" s="21" t="s">
        <v>1381</v>
      </c>
      <c r="P14" t="s">
        <v>1370</v>
      </c>
      <c r="Q14" s="51" t="s">
        <v>1381</v>
      </c>
      <c r="R14" s="51" t="s">
        <v>1381</v>
      </c>
      <c r="S14" s="51" t="s">
        <v>1381</v>
      </c>
    </row>
    <row r="15" spans="1:14" ht="12">
      <c r="A15" t="s">
        <v>1371</v>
      </c>
      <c r="B15" s="21">
        <f aca="true" t="shared" si="0" ref="B15:D17">B29</f>
        <v>0.27620662</v>
      </c>
      <c r="C15" s="21">
        <f>C28</f>
        <v>0</v>
      </c>
      <c r="D15" s="21">
        <f t="shared" si="0"/>
        <v>0.20355898</v>
      </c>
      <c r="E15" s="21">
        <f>E28</f>
        <v>0</v>
      </c>
      <c r="F15" s="21">
        <f>F29</f>
        <v>0.25390826</v>
      </c>
      <c r="G15" s="21">
        <f>G28</f>
        <v>0</v>
      </c>
      <c r="H15" s="21">
        <f aca="true" t="shared" si="1" ref="H15:M16">J29</f>
        <v>0.2787681</v>
      </c>
      <c r="I15" s="21">
        <f t="shared" si="1"/>
        <v>0</v>
      </c>
      <c r="J15" s="21">
        <f t="shared" si="1"/>
        <v>0.19654944</v>
      </c>
      <c r="K15" s="21">
        <f t="shared" si="1"/>
        <v>0</v>
      </c>
      <c r="L15" s="21">
        <f t="shared" si="1"/>
        <v>0.19735368</v>
      </c>
      <c r="M15" s="21">
        <f t="shared" si="1"/>
        <v>0</v>
      </c>
      <c r="N15">
        <v>2</v>
      </c>
    </row>
    <row r="16" spans="1:14" ht="12">
      <c r="A16" t="s">
        <v>1375</v>
      </c>
      <c r="B16" s="21">
        <f t="shared" si="0"/>
        <v>295</v>
      </c>
      <c r="C16" s="21">
        <f aca="true" t="shared" si="2" ref="C16:E17">C29</f>
        <v>0</v>
      </c>
      <c r="D16" s="21">
        <f t="shared" si="0"/>
        <v>326</v>
      </c>
      <c r="E16" s="21">
        <f t="shared" si="2"/>
        <v>0</v>
      </c>
      <c r="F16" s="21">
        <f>F30</f>
        <v>317</v>
      </c>
      <c r="G16" s="21">
        <f>G29</f>
        <v>0</v>
      </c>
      <c r="H16" s="21">
        <f t="shared" si="1"/>
        <v>8490</v>
      </c>
      <c r="I16" s="21">
        <f t="shared" si="1"/>
        <v>0</v>
      </c>
      <c r="J16" s="21">
        <f t="shared" si="1"/>
        <v>8368</v>
      </c>
      <c r="K16" s="21">
        <f t="shared" si="1"/>
        <v>0</v>
      </c>
      <c r="L16" s="21">
        <f t="shared" si="1"/>
        <v>8472</v>
      </c>
      <c r="M16" s="21">
        <f t="shared" si="1"/>
        <v>0</v>
      </c>
      <c r="N16">
        <v>0</v>
      </c>
    </row>
    <row r="17" spans="1:14" ht="12">
      <c r="A17" t="s">
        <v>1376</v>
      </c>
      <c r="B17" s="21">
        <f t="shared" si="0"/>
        <v>165</v>
      </c>
      <c r="C17" s="21">
        <f t="shared" si="2"/>
        <v>0</v>
      </c>
      <c r="D17" s="21">
        <f t="shared" si="0"/>
        <v>175</v>
      </c>
      <c r="E17" s="21">
        <f t="shared" si="2"/>
        <v>0</v>
      </c>
      <c r="F17" s="21">
        <f>F31</f>
        <v>172</v>
      </c>
      <c r="G17" s="21">
        <f>G30</f>
        <v>0</v>
      </c>
      <c r="H17" s="21">
        <f aca="true" t="shared" si="3" ref="H17:M17">J31</f>
        <v>4951</v>
      </c>
      <c r="I17" s="21">
        <f t="shared" si="3"/>
        <v>0</v>
      </c>
      <c r="J17" s="21">
        <f t="shared" si="3"/>
        <v>4909</v>
      </c>
      <c r="K17" s="21">
        <f t="shared" si="3"/>
        <v>0</v>
      </c>
      <c r="L17" s="21">
        <f t="shared" si="3"/>
        <v>4949</v>
      </c>
      <c r="M17" s="21">
        <f t="shared" si="3"/>
        <v>0</v>
      </c>
      <c r="N17">
        <v>0</v>
      </c>
    </row>
    <row r="18" spans="1:9" ht="12">
      <c r="A18" s="19"/>
      <c r="B18" s="17"/>
      <c r="C18" s="17"/>
      <c r="D18" s="17">
        <v>0.026</v>
      </c>
      <c r="E18" s="17"/>
      <c r="F18" s="17">
        <v>0.027</v>
      </c>
      <c r="G18" s="17"/>
      <c r="H18" s="17"/>
      <c r="I18" s="17"/>
    </row>
    <row r="19" spans="1:9" ht="12">
      <c r="A19" s="19"/>
      <c r="B19" s="17"/>
      <c r="C19" s="17"/>
      <c r="D19" s="7">
        <f>D18*D10</f>
        <v>-0.017486024139999997</v>
      </c>
      <c r="E19" s="7"/>
      <c r="F19" s="7">
        <f>F18*F11</f>
        <v>-0.01014418944</v>
      </c>
      <c r="G19" s="17"/>
      <c r="H19" s="17"/>
      <c r="I19" s="17"/>
    </row>
    <row r="20" spans="1:15" ht="12">
      <c r="A20" s="19"/>
      <c r="B20" s="17" t="s">
        <v>1154</v>
      </c>
      <c r="C20" s="17" t="s">
        <v>1155</v>
      </c>
      <c r="D20" s="17" t="s">
        <v>1156</v>
      </c>
      <c r="E20" s="17" t="s">
        <v>1157</v>
      </c>
      <c r="F20" s="17" t="s">
        <v>1377</v>
      </c>
      <c r="G20" s="17" t="s">
        <v>1378</v>
      </c>
      <c r="H20" s="17"/>
      <c r="I20" s="17"/>
      <c r="J20" t="s">
        <v>1154</v>
      </c>
      <c r="K20" t="s">
        <v>1155</v>
      </c>
      <c r="L20" t="s">
        <v>1156</v>
      </c>
      <c r="M20" t="s">
        <v>1157</v>
      </c>
      <c r="N20" t="s">
        <v>1377</v>
      </c>
      <c r="O20" t="s">
        <v>1378</v>
      </c>
    </row>
    <row r="21" spans="1:15" ht="12">
      <c r="A21" s="19" t="s">
        <v>1158</v>
      </c>
      <c r="B21" s="17">
        <v>-0.18769575</v>
      </c>
      <c r="C21" s="17">
        <v>-6.1036749</v>
      </c>
      <c r="D21" s="17">
        <v>0</v>
      </c>
      <c r="E21" s="17">
        <v>0</v>
      </c>
      <c r="F21" s="17">
        <v>0</v>
      </c>
      <c r="G21" s="17">
        <v>0</v>
      </c>
      <c r="H21" s="17"/>
      <c r="I21" s="17" t="s">
        <v>1158</v>
      </c>
      <c r="J21">
        <v>-0.07969758</v>
      </c>
      <c r="K21">
        <v>-26.914611</v>
      </c>
      <c r="L21">
        <v>0</v>
      </c>
      <c r="M21">
        <v>0</v>
      </c>
      <c r="N21">
        <v>0</v>
      </c>
      <c r="O21">
        <v>0</v>
      </c>
    </row>
    <row r="22" spans="1:15" ht="12">
      <c r="A22" s="19" t="s">
        <v>1159</v>
      </c>
      <c r="B22" s="17">
        <v>0</v>
      </c>
      <c r="C22" s="17">
        <v>0</v>
      </c>
      <c r="D22" s="17">
        <v>-0.67253939</v>
      </c>
      <c r="E22" s="17">
        <v>-2.2652215</v>
      </c>
      <c r="F22" s="17">
        <v>0</v>
      </c>
      <c r="G22" s="17">
        <v>0</v>
      </c>
      <c r="H22" s="17"/>
      <c r="I22" s="17" t="s">
        <v>1159</v>
      </c>
      <c r="J22">
        <v>0</v>
      </c>
      <c r="K22">
        <v>0</v>
      </c>
      <c r="L22">
        <v>-0.05693157</v>
      </c>
      <c r="M22">
        <v>-3.8593975</v>
      </c>
      <c r="N22">
        <v>0</v>
      </c>
      <c r="O22">
        <v>0</v>
      </c>
    </row>
    <row r="23" spans="1:15" ht="12">
      <c r="A23" s="19" t="s">
        <v>1160</v>
      </c>
      <c r="B23" s="17">
        <v>0</v>
      </c>
      <c r="C23" s="17">
        <v>0</v>
      </c>
      <c r="D23" s="17">
        <v>0</v>
      </c>
      <c r="E23" s="17">
        <v>0</v>
      </c>
      <c r="F23" s="17">
        <v>-0.37571072</v>
      </c>
      <c r="G23" s="17">
        <v>-2.4176244</v>
      </c>
      <c r="H23" s="17"/>
      <c r="I23" s="17" t="s">
        <v>1160</v>
      </c>
      <c r="J23">
        <v>0</v>
      </c>
      <c r="K23">
        <v>0</v>
      </c>
      <c r="L23">
        <v>0</v>
      </c>
      <c r="M23">
        <v>0</v>
      </c>
      <c r="N23">
        <v>-0.08254339</v>
      </c>
      <c r="O23">
        <v>-3.1018841</v>
      </c>
    </row>
    <row r="24" spans="1:15" ht="12">
      <c r="A24" s="19" t="s">
        <v>1161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/>
      <c r="I24" s="17" t="s">
        <v>1161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</row>
    <row r="25" spans="1:15" ht="12">
      <c r="A25" t="s">
        <v>1162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I25" t="s">
        <v>1162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</row>
    <row r="26" spans="1:15" ht="12">
      <c r="A26" t="s">
        <v>1163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I26" t="s">
        <v>1163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</row>
    <row r="27" spans="1:15" ht="12">
      <c r="A27" t="s">
        <v>1164</v>
      </c>
      <c r="B27">
        <v>0.13214746</v>
      </c>
      <c r="C27">
        <v>0</v>
      </c>
      <c r="D27">
        <v>0.0188823</v>
      </c>
      <c r="E27">
        <v>0</v>
      </c>
      <c r="F27">
        <v>0.03762771</v>
      </c>
      <c r="G27">
        <v>0</v>
      </c>
      <c r="I27" t="s">
        <v>1164</v>
      </c>
      <c r="J27">
        <v>0.05183144</v>
      </c>
      <c r="K27">
        <v>0</v>
      </c>
      <c r="L27">
        <v>0.00643442</v>
      </c>
      <c r="M27">
        <v>0</v>
      </c>
      <c r="N27">
        <v>0.00525999</v>
      </c>
      <c r="O27">
        <v>0</v>
      </c>
    </row>
    <row r="28" spans="1:15" ht="12">
      <c r="A28" t="s">
        <v>1165</v>
      </c>
      <c r="B28">
        <v>0.3085632</v>
      </c>
      <c r="C28">
        <v>0</v>
      </c>
      <c r="D28">
        <v>0.25200069</v>
      </c>
      <c r="E28">
        <v>0</v>
      </c>
      <c r="F28">
        <v>0.29106349</v>
      </c>
      <c r="G28">
        <v>0</v>
      </c>
      <c r="I28" t="s">
        <v>1165</v>
      </c>
      <c r="J28">
        <v>0.28368832</v>
      </c>
      <c r="K28">
        <v>0</v>
      </c>
      <c r="L28">
        <v>0.20058503</v>
      </c>
      <c r="M28">
        <v>0</v>
      </c>
      <c r="N28">
        <v>0.20011648</v>
      </c>
      <c r="O28">
        <v>0</v>
      </c>
    </row>
    <row r="29" spans="1:15" ht="12">
      <c r="A29" t="s">
        <v>1166</v>
      </c>
      <c r="B29">
        <v>0.27620662</v>
      </c>
      <c r="C29">
        <v>0</v>
      </c>
      <c r="D29">
        <v>0.20355898</v>
      </c>
      <c r="E29">
        <v>0</v>
      </c>
      <c r="F29">
        <v>0.25390826</v>
      </c>
      <c r="G29">
        <v>0</v>
      </c>
      <c r="I29" t="s">
        <v>1166</v>
      </c>
      <c r="J29">
        <v>0.2787681</v>
      </c>
      <c r="K29">
        <v>0</v>
      </c>
      <c r="L29">
        <v>0.19654944</v>
      </c>
      <c r="M29">
        <v>0</v>
      </c>
      <c r="N29">
        <v>0.19735368</v>
      </c>
      <c r="O29">
        <v>0</v>
      </c>
    </row>
    <row r="30" spans="1:15" ht="12">
      <c r="A30" t="s">
        <v>1167</v>
      </c>
      <c r="B30">
        <v>295</v>
      </c>
      <c r="C30">
        <v>0</v>
      </c>
      <c r="D30">
        <v>326</v>
      </c>
      <c r="E30">
        <v>0</v>
      </c>
      <c r="F30">
        <v>317</v>
      </c>
      <c r="G30">
        <v>0</v>
      </c>
      <c r="I30" t="s">
        <v>1167</v>
      </c>
      <c r="J30">
        <v>8490</v>
      </c>
      <c r="K30">
        <v>0</v>
      </c>
      <c r="L30">
        <v>8368</v>
      </c>
      <c r="M30">
        <v>0</v>
      </c>
      <c r="N30">
        <v>8472</v>
      </c>
      <c r="O30">
        <v>0</v>
      </c>
    </row>
    <row r="31" spans="1:15" ht="12">
      <c r="A31" t="s">
        <v>1168</v>
      </c>
      <c r="B31">
        <v>165</v>
      </c>
      <c r="C31">
        <v>0</v>
      </c>
      <c r="D31">
        <v>175</v>
      </c>
      <c r="E31">
        <v>0</v>
      </c>
      <c r="F31">
        <v>172</v>
      </c>
      <c r="G31">
        <v>0</v>
      </c>
      <c r="I31" t="s">
        <v>1168</v>
      </c>
      <c r="J31">
        <v>4951</v>
      </c>
      <c r="K31">
        <v>0</v>
      </c>
      <c r="L31">
        <v>4909</v>
      </c>
      <c r="M31">
        <v>0</v>
      </c>
      <c r="N31">
        <v>4949</v>
      </c>
      <c r="O31">
        <v>0</v>
      </c>
    </row>
    <row r="41" spans="1:2" ht="12">
      <c r="A41" t="s">
        <v>1166</v>
      </c>
      <c r="B41">
        <v>0</v>
      </c>
    </row>
    <row r="42" spans="1:2" ht="12">
      <c r="A42" t="s">
        <v>1167</v>
      </c>
      <c r="B42">
        <v>0</v>
      </c>
    </row>
    <row r="52" ht="12">
      <c r="A52" t="s">
        <v>1710</v>
      </c>
    </row>
    <row r="53" ht="12">
      <c r="A53" t="s">
        <v>1703</v>
      </c>
    </row>
    <row r="54" ht="12">
      <c r="A54" t="s">
        <v>1711</v>
      </c>
    </row>
    <row r="55" ht="12">
      <c r="A55" t="s">
        <v>0</v>
      </c>
    </row>
    <row r="56" ht="12">
      <c r="A56" t="s">
        <v>1712</v>
      </c>
    </row>
    <row r="57" ht="12">
      <c r="A57" t="s">
        <v>1706</v>
      </c>
    </row>
    <row r="58" ht="12">
      <c r="A58" t="s">
        <v>1713</v>
      </c>
    </row>
    <row r="59" ht="12">
      <c r="A59" t="s">
        <v>1714</v>
      </c>
    </row>
    <row r="60" ht="12">
      <c r="A60" t="s">
        <v>1715</v>
      </c>
    </row>
    <row r="61" ht="12">
      <c r="A61" t="s">
        <v>1716</v>
      </c>
    </row>
    <row r="62" ht="12">
      <c r="A62" t="s">
        <v>1717</v>
      </c>
    </row>
    <row r="63" ht="12">
      <c r="A63" t="s">
        <v>1718</v>
      </c>
    </row>
    <row r="64" ht="12">
      <c r="A64" t="s">
        <v>1706</v>
      </c>
    </row>
    <row r="65" ht="12">
      <c r="A65" t="s">
        <v>1719</v>
      </c>
    </row>
    <row r="66" ht="12">
      <c r="A66" t="s">
        <v>1720</v>
      </c>
    </row>
    <row r="67" ht="12">
      <c r="A67" t="s">
        <v>1721</v>
      </c>
    </row>
    <row r="68" ht="12">
      <c r="A68" t="s">
        <v>1722</v>
      </c>
    </row>
    <row r="69" ht="12">
      <c r="A69" t="s">
        <v>1723</v>
      </c>
    </row>
    <row r="70" ht="12">
      <c r="A70" t="s">
        <v>1724</v>
      </c>
    </row>
    <row r="71" ht="12">
      <c r="A71" t="s">
        <v>1725</v>
      </c>
    </row>
    <row r="72" ht="12">
      <c r="A72" t="s">
        <v>1726</v>
      </c>
    </row>
    <row r="73" ht="12">
      <c r="A73" t="s">
        <v>1727</v>
      </c>
    </row>
    <row r="74" ht="12">
      <c r="A74" t="s">
        <v>66</v>
      </c>
    </row>
    <row r="75" ht="12">
      <c r="A75" t="s">
        <v>67</v>
      </c>
    </row>
  </sheetData>
  <mergeCells count="1">
    <mergeCell ref="Q8:S8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7"/>
  <dimension ref="A1:F84"/>
  <sheetViews>
    <sheetView workbookViewId="0" topLeftCell="A1">
      <selection activeCell="A14" sqref="A14"/>
    </sheetView>
  </sheetViews>
  <sheetFormatPr defaultColWidth="9.00390625" defaultRowHeight="12.75"/>
  <cols>
    <col min="1" max="1" width="31.875" style="0" customWidth="1"/>
    <col min="2" max="2" width="10.875" style="0" customWidth="1"/>
    <col min="3" max="3" width="11.25390625" style="0" customWidth="1"/>
    <col min="4" max="5" width="12.125" style="0" customWidth="1"/>
  </cols>
  <sheetData>
    <row r="1" spans="1:4" ht="12">
      <c r="A1" t="s">
        <v>1698</v>
      </c>
      <c r="B1">
        <v>1</v>
      </c>
      <c r="C1" t="s">
        <v>1699</v>
      </c>
      <c r="D1">
        <v>2</v>
      </c>
    </row>
    <row r="2" spans="1:2" ht="12">
      <c r="A2" t="s">
        <v>1700</v>
      </c>
      <c r="B2">
        <v>13</v>
      </c>
    </row>
    <row r="3" spans="1:2" ht="12">
      <c r="A3" t="s">
        <v>1701</v>
      </c>
      <c r="B3">
        <v>0</v>
      </c>
    </row>
    <row r="5" ht="12">
      <c r="A5" t="s">
        <v>437</v>
      </c>
    </row>
    <row r="6" spans="1:5" ht="12">
      <c r="A6" t="s">
        <v>1176</v>
      </c>
      <c r="B6">
        <v>2003</v>
      </c>
      <c r="D6">
        <v>2004</v>
      </c>
      <c r="E6" s="14"/>
    </row>
    <row r="7" spans="1:6" ht="12">
      <c r="A7" s="18" t="s">
        <v>320</v>
      </c>
      <c r="B7" s="20">
        <f aca="true" t="shared" si="0" ref="B7:E8">B22/30/10^6</f>
        <v>1202.3333333333333</v>
      </c>
      <c r="C7" s="20">
        <f t="shared" si="0"/>
        <v>3066</v>
      </c>
      <c r="D7" s="20">
        <f t="shared" si="0"/>
        <v>1491</v>
      </c>
      <c r="E7" s="20">
        <f t="shared" si="0"/>
        <v>3696.6666666666665</v>
      </c>
      <c r="F7">
        <v>1</v>
      </c>
    </row>
    <row r="8" spans="1:6" ht="12">
      <c r="A8" s="18" t="s">
        <v>321</v>
      </c>
      <c r="B8" s="20">
        <f t="shared" si="0"/>
        <v>741.3333333333334</v>
      </c>
      <c r="C8" s="20">
        <f t="shared" si="0"/>
        <v>1323.6666666666667</v>
      </c>
      <c r="D8" s="20">
        <f t="shared" si="0"/>
        <v>946.3333333333334</v>
      </c>
      <c r="E8" s="20">
        <f t="shared" si="0"/>
        <v>1783</v>
      </c>
      <c r="F8">
        <v>1</v>
      </c>
    </row>
    <row r="9" spans="1:6" ht="12">
      <c r="A9" s="18" t="s">
        <v>323</v>
      </c>
      <c r="B9" s="17">
        <f aca="true" t="shared" si="1" ref="B9:E12">B24*100</f>
        <v>15.477284</v>
      </c>
      <c r="C9" s="17">
        <f t="shared" si="1"/>
        <v>22.573114</v>
      </c>
      <c r="D9" s="17">
        <f t="shared" si="1"/>
        <v>12.561342</v>
      </c>
      <c r="E9" s="17">
        <f t="shared" si="1"/>
        <v>15.125019</v>
      </c>
      <c r="F9">
        <v>2</v>
      </c>
    </row>
    <row r="10" spans="1:6" ht="12">
      <c r="A10" s="18" t="s">
        <v>324</v>
      </c>
      <c r="B10" s="17">
        <f t="shared" si="1"/>
        <v>0.940886</v>
      </c>
      <c r="C10" s="17">
        <f t="shared" si="1"/>
        <v>1.394552</v>
      </c>
      <c r="D10" s="17">
        <f t="shared" si="1"/>
        <v>0.9910129999999999</v>
      </c>
      <c r="E10" s="17">
        <f t="shared" si="1"/>
        <v>1.5006</v>
      </c>
      <c r="F10">
        <v>2</v>
      </c>
    </row>
    <row r="11" spans="1:6" ht="12">
      <c r="A11" s="18" t="s">
        <v>325</v>
      </c>
      <c r="B11" s="17">
        <f t="shared" si="1"/>
        <v>1.287369</v>
      </c>
      <c r="C11" s="17">
        <f t="shared" si="1"/>
        <v>1.986456</v>
      </c>
      <c r="D11" s="17">
        <f t="shared" si="1"/>
        <v>1.250464</v>
      </c>
      <c r="E11" s="17">
        <f t="shared" si="1"/>
        <v>1.697537</v>
      </c>
      <c r="F11">
        <v>2</v>
      </c>
    </row>
    <row r="12" spans="1:6" ht="12">
      <c r="A12" s="19" t="s">
        <v>1002</v>
      </c>
      <c r="B12" s="17">
        <f t="shared" si="1"/>
        <v>30.552259999999997</v>
      </c>
      <c r="C12" s="17">
        <f t="shared" si="1"/>
        <v>11.718183999999999</v>
      </c>
      <c r="D12" s="17">
        <f t="shared" si="1"/>
        <v>27.672993</v>
      </c>
      <c r="E12" s="17">
        <f t="shared" si="1"/>
        <v>12.409662</v>
      </c>
      <c r="F12">
        <v>2</v>
      </c>
    </row>
    <row r="13" spans="1:6" ht="12">
      <c r="A13" s="19" t="s">
        <v>1126</v>
      </c>
      <c r="B13" s="17">
        <f>B28</f>
        <v>2.8827065</v>
      </c>
      <c r="C13" s="17">
        <f>C28</f>
        <v>2.6217703</v>
      </c>
      <c r="D13" s="17">
        <f>D28</f>
        <v>3.498903</v>
      </c>
      <c r="E13" s="17">
        <f>E28</f>
        <v>4.0333189</v>
      </c>
      <c r="F13">
        <v>2</v>
      </c>
    </row>
    <row r="14" spans="1:6" ht="12">
      <c r="A14" s="19" t="s">
        <v>1127</v>
      </c>
      <c r="B14" s="17">
        <f>B29</f>
        <v>0.71731959</v>
      </c>
      <c r="C14" s="17">
        <f>C29</f>
        <v>0.54133218</v>
      </c>
      <c r="D14" s="17">
        <f>D29</f>
        <v>0.74036503</v>
      </c>
      <c r="E14" s="17">
        <f>E29</f>
        <v>0.74173298</v>
      </c>
      <c r="F14">
        <v>2</v>
      </c>
    </row>
    <row r="15" spans="1:6" ht="13.5" customHeight="1">
      <c r="A15" s="19" t="s">
        <v>1001</v>
      </c>
      <c r="B15" s="17">
        <f>B30</f>
        <v>430.72727</v>
      </c>
      <c r="C15" s="17">
        <f>C30</f>
        <v>1182.5224</v>
      </c>
      <c r="D15" s="17">
        <f>D30</f>
        <v>280.97059</v>
      </c>
      <c r="E15" s="17">
        <f>E30</f>
        <v>612.21414</v>
      </c>
      <c r="F15">
        <v>1</v>
      </c>
    </row>
    <row r="16" spans="1:6" ht="12">
      <c r="A16" s="19" t="s">
        <v>1128</v>
      </c>
      <c r="B16" s="17">
        <f>B31</f>
        <v>44</v>
      </c>
      <c r="C16" s="17"/>
      <c r="D16" s="17">
        <f>D31</f>
        <v>62.5</v>
      </c>
      <c r="E16" s="17"/>
      <c r="F16">
        <v>1</v>
      </c>
    </row>
    <row r="17" spans="1:6" ht="12">
      <c r="A17" s="19" t="s">
        <v>1648</v>
      </c>
      <c r="B17" s="17">
        <f aca="true" t="shared" si="2" ref="B17:E18">B32</f>
        <v>100.87879</v>
      </c>
      <c r="C17" s="17">
        <f t="shared" si="2"/>
        <v>183.14863</v>
      </c>
      <c r="D17" s="17">
        <f t="shared" si="2"/>
        <v>84.882353</v>
      </c>
      <c r="E17" s="17">
        <f t="shared" si="2"/>
        <v>111.79412</v>
      </c>
      <c r="F17">
        <v>1</v>
      </c>
    </row>
    <row r="18" spans="1:6" ht="12">
      <c r="A18" s="19" t="s">
        <v>1128</v>
      </c>
      <c r="B18" s="17">
        <f>B33</f>
        <v>25</v>
      </c>
      <c r="C18" s="17"/>
      <c r="D18" s="17">
        <f>D33</f>
        <v>39</v>
      </c>
      <c r="E18" s="17"/>
      <c r="F18">
        <v>1</v>
      </c>
    </row>
    <row r="19" spans="1:6" ht="12">
      <c r="A19" t="s">
        <v>315</v>
      </c>
      <c r="B19">
        <f>B37</f>
        <v>33</v>
      </c>
      <c r="D19">
        <f>D37</f>
        <v>34</v>
      </c>
      <c r="F19">
        <v>0</v>
      </c>
    </row>
    <row r="21" spans="2:5" ht="12">
      <c r="B21" t="s">
        <v>1154</v>
      </c>
      <c r="C21" t="s">
        <v>1155</v>
      </c>
      <c r="D21" t="s">
        <v>1156</v>
      </c>
      <c r="E21" t="s">
        <v>1157</v>
      </c>
    </row>
    <row r="22" spans="1:5" ht="12">
      <c r="A22" t="s">
        <v>1158</v>
      </c>
      <c r="B22" s="11">
        <v>36070000000</v>
      </c>
      <c r="C22" s="11">
        <v>91980000000</v>
      </c>
      <c r="D22" s="11">
        <v>44730000000</v>
      </c>
      <c r="E22" s="11">
        <v>110900000000</v>
      </c>
    </row>
    <row r="23" spans="1:5" ht="12">
      <c r="A23" t="s">
        <v>1159</v>
      </c>
      <c r="B23" s="11">
        <v>22240000000</v>
      </c>
      <c r="C23" s="11">
        <v>39710000000</v>
      </c>
      <c r="D23" s="11">
        <v>28390000000</v>
      </c>
      <c r="E23" s="11">
        <v>53490000000</v>
      </c>
    </row>
    <row r="24" spans="1:5" ht="12">
      <c r="A24" t="s">
        <v>1160</v>
      </c>
      <c r="B24" s="11">
        <v>0.15477284</v>
      </c>
      <c r="C24" s="11">
        <v>0.22573114</v>
      </c>
      <c r="D24" s="11">
        <v>0.12561342</v>
      </c>
      <c r="E24" s="11">
        <v>0.15125019</v>
      </c>
    </row>
    <row r="25" spans="1:5" ht="12">
      <c r="A25" t="s">
        <v>1161</v>
      </c>
      <c r="B25">
        <v>0.00940886</v>
      </c>
      <c r="C25">
        <v>0.01394552</v>
      </c>
      <c r="D25">
        <v>0.00991013</v>
      </c>
      <c r="E25">
        <v>0.015006</v>
      </c>
    </row>
    <row r="26" spans="1:5" ht="12">
      <c r="A26" t="s">
        <v>1162</v>
      </c>
      <c r="B26">
        <v>0.01287369</v>
      </c>
      <c r="C26">
        <v>0.01986456</v>
      </c>
      <c r="D26">
        <v>0.01250464</v>
      </c>
      <c r="E26">
        <v>0.01697537</v>
      </c>
    </row>
    <row r="27" spans="1:5" ht="12">
      <c r="A27" t="s">
        <v>1163</v>
      </c>
      <c r="B27">
        <v>0.3055226</v>
      </c>
      <c r="C27">
        <v>0.11718184</v>
      </c>
      <c r="D27">
        <v>0.27672993</v>
      </c>
      <c r="E27">
        <v>0.12409662</v>
      </c>
    </row>
    <row r="28" spans="1:5" ht="12">
      <c r="A28" t="s">
        <v>1164</v>
      </c>
      <c r="B28">
        <v>2.8827065</v>
      </c>
      <c r="C28">
        <v>2.6217703</v>
      </c>
      <c r="D28">
        <v>3.498903</v>
      </c>
      <c r="E28">
        <v>4.0333189</v>
      </c>
    </row>
    <row r="29" spans="1:5" ht="12">
      <c r="A29" t="s">
        <v>1165</v>
      </c>
      <c r="B29">
        <v>0.71731959</v>
      </c>
      <c r="C29">
        <v>0.54133218</v>
      </c>
      <c r="D29">
        <v>0.74036503</v>
      </c>
      <c r="E29">
        <v>0.74173298</v>
      </c>
    </row>
    <row r="30" spans="1:5" ht="12">
      <c r="A30" t="s">
        <v>1166</v>
      </c>
      <c r="B30">
        <v>430.72727</v>
      </c>
      <c r="C30">
        <v>1182.5224</v>
      </c>
      <c r="D30">
        <v>280.97059</v>
      </c>
      <c r="E30">
        <v>612.21414</v>
      </c>
    </row>
    <row r="31" spans="1:5" ht="12">
      <c r="A31" t="s">
        <v>1167</v>
      </c>
      <c r="B31">
        <v>44</v>
      </c>
      <c r="C31">
        <v>0</v>
      </c>
      <c r="D31">
        <v>62.5</v>
      </c>
      <c r="E31">
        <v>0</v>
      </c>
    </row>
    <row r="32" spans="1:5" ht="12">
      <c r="A32" t="s">
        <v>1168</v>
      </c>
      <c r="B32">
        <v>100.87879</v>
      </c>
      <c r="C32">
        <v>183.14863</v>
      </c>
      <c r="D32">
        <v>84.882353</v>
      </c>
      <c r="E32">
        <v>111.79412</v>
      </c>
    </row>
    <row r="33" spans="1:5" ht="12">
      <c r="A33" t="s">
        <v>1169</v>
      </c>
      <c r="B33">
        <v>25</v>
      </c>
      <c r="C33">
        <v>0</v>
      </c>
      <c r="D33">
        <v>39</v>
      </c>
      <c r="E33">
        <v>0</v>
      </c>
    </row>
    <row r="34" spans="1:5" ht="12">
      <c r="A34" t="s">
        <v>1170</v>
      </c>
      <c r="B34">
        <v>33</v>
      </c>
      <c r="C34">
        <v>0</v>
      </c>
      <c r="D34">
        <v>34</v>
      </c>
      <c r="E34">
        <v>0</v>
      </c>
    </row>
    <row r="35" spans="1:5" ht="12">
      <c r="A35" t="s">
        <v>1171</v>
      </c>
      <c r="B35">
        <v>25</v>
      </c>
      <c r="C35">
        <v>0</v>
      </c>
      <c r="D35">
        <v>39</v>
      </c>
      <c r="E35">
        <v>0</v>
      </c>
    </row>
    <row r="36" spans="1:5" ht="12">
      <c r="A36" t="s">
        <v>1172</v>
      </c>
      <c r="B36">
        <v>84</v>
      </c>
      <c r="C36">
        <v>0</v>
      </c>
      <c r="D36">
        <v>94</v>
      </c>
      <c r="E36">
        <v>0</v>
      </c>
    </row>
    <row r="37" spans="1:5" ht="12">
      <c r="A37" t="s">
        <v>1173</v>
      </c>
      <c r="B37">
        <v>33</v>
      </c>
      <c r="C37">
        <v>0</v>
      </c>
      <c r="D37">
        <v>34</v>
      </c>
      <c r="E37">
        <v>0</v>
      </c>
    </row>
    <row r="39" ht="12">
      <c r="A39" t="s">
        <v>1174</v>
      </c>
    </row>
    <row r="40" ht="12">
      <c r="A40" t="s">
        <v>1175</v>
      </c>
    </row>
    <row r="41" ht="12">
      <c r="A41" t="s">
        <v>1254</v>
      </c>
    </row>
    <row r="55" ht="12">
      <c r="A55" t="s">
        <v>1382</v>
      </c>
    </row>
    <row r="56" ht="12">
      <c r="A56" t="s">
        <v>1703</v>
      </c>
    </row>
    <row r="57" ht="12">
      <c r="A57" t="s">
        <v>438</v>
      </c>
    </row>
    <row r="58" ht="12">
      <c r="A58" t="s">
        <v>1706</v>
      </c>
    </row>
    <row r="59" ht="12">
      <c r="A59" t="s">
        <v>439</v>
      </c>
    </row>
    <row r="60" ht="12">
      <c r="A60" t="s">
        <v>440</v>
      </c>
    </row>
    <row r="61" ht="12">
      <c r="A61" t="s">
        <v>441</v>
      </c>
    </row>
    <row r="62" ht="12">
      <c r="A62" t="s">
        <v>442</v>
      </c>
    </row>
    <row r="63" ht="12">
      <c r="A63" t="s">
        <v>443</v>
      </c>
    </row>
    <row r="64" ht="12">
      <c r="A64" t="s">
        <v>444</v>
      </c>
    </row>
    <row r="65" ht="12">
      <c r="A65" t="s">
        <v>445</v>
      </c>
    </row>
    <row r="66" ht="12">
      <c r="A66" t="s">
        <v>446</v>
      </c>
    </row>
    <row r="67" ht="12">
      <c r="A67" t="s">
        <v>447</v>
      </c>
    </row>
    <row r="68" ht="12">
      <c r="A68" t="s">
        <v>448</v>
      </c>
    </row>
    <row r="69" ht="12">
      <c r="A69" t="s">
        <v>449</v>
      </c>
    </row>
    <row r="70" ht="12">
      <c r="A70" t="s">
        <v>450</v>
      </c>
    </row>
    <row r="71" ht="12">
      <c r="A71" t="s">
        <v>451</v>
      </c>
    </row>
    <row r="72" ht="12">
      <c r="A72" t="s">
        <v>452</v>
      </c>
    </row>
    <row r="73" ht="12">
      <c r="A73" t="s">
        <v>460</v>
      </c>
    </row>
    <row r="74" ht="12">
      <c r="A74" t="s">
        <v>461</v>
      </c>
    </row>
    <row r="75" ht="12">
      <c r="A75" t="s">
        <v>453</v>
      </c>
    </row>
    <row r="76" ht="12">
      <c r="A76" t="s">
        <v>454</v>
      </c>
    </row>
    <row r="77" ht="12">
      <c r="A77" t="s">
        <v>455</v>
      </c>
    </row>
    <row r="78" ht="12">
      <c r="A78" t="s">
        <v>456</v>
      </c>
    </row>
    <row r="79" ht="12">
      <c r="A79" t="s">
        <v>457</v>
      </c>
    </row>
    <row r="80" ht="12">
      <c r="A80" t="s">
        <v>458</v>
      </c>
    </row>
    <row r="81" ht="12">
      <c r="A81" t="s">
        <v>459</v>
      </c>
    </row>
    <row r="82" ht="12">
      <c r="A82" t="s">
        <v>1706</v>
      </c>
    </row>
    <row r="83" ht="12">
      <c r="A83" t="s">
        <v>66</v>
      </c>
    </row>
    <row r="84" ht="12">
      <c r="A84" t="s">
        <v>67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28"/>
  <dimension ref="A1:Y79"/>
  <sheetViews>
    <sheetView workbookViewId="0" topLeftCell="A55">
      <selection activeCell="A55" sqref="A55:A79"/>
    </sheetView>
  </sheetViews>
  <sheetFormatPr defaultColWidth="9.00390625" defaultRowHeight="12.75"/>
  <cols>
    <col min="1" max="1" width="16.875" style="0" customWidth="1"/>
    <col min="22" max="22" width="15.00390625" style="0" customWidth="1"/>
    <col min="23" max="23" width="11.875" style="0" customWidth="1"/>
    <col min="24" max="24" width="11.00390625" style="0" customWidth="1"/>
    <col min="25" max="25" width="13.00390625" style="0" customWidth="1"/>
  </cols>
  <sheetData>
    <row r="1" spans="1:4" ht="12">
      <c r="A1" t="s">
        <v>1698</v>
      </c>
      <c r="B1">
        <v>2</v>
      </c>
      <c r="C1" t="s">
        <v>1699</v>
      </c>
      <c r="D1">
        <v>9</v>
      </c>
    </row>
    <row r="2" spans="1:2" ht="12">
      <c r="A2" t="s">
        <v>1700</v>
      </c>
      <c r="B2">
        <v>7</v>
      </c>
    </row>
    <row r="3" spans="1:2" ht="12">
      <c r="A3" t="s">
        <v>1701</v>
      </c>
      <c r="B3">
        <v>3</v>
      </c>
    </row>
    <row r="5" ht="12">
      <c r="A5" t="s">
        <v>468</v>
      </c>
    </row>
    <row r="6" spans="1:22" ht="12">
      <c r="A6" t="s">
        <v>462</v>
      </c>
      <c r="V6" t="str">
        <f>TEXT(H8,"0.00")</f>
        <v>0.15</v>
      </c>
    </row>
    <row r="7" spans="2:25" ht="18" customHeight="1">
      <c r="B7" s="14" t="s">
        <v>668</v>
      </c>
      <c r="C7" s="14" t="s">
        <v>1524</v>
      </c>
      <c r="D7" s="14" t="s">
        <v>669</v>
      </c>
      <c r="E7" s="14" t="s">
        <v>1524</v>
      </c>
      <c r="F7" s="14" t="s">
        <v>1264</v>
      </c>
      <c r="G7" s="14" t="s">
        <v>1524</v>
      </c>
      <c r="H7" s="14" t="s">
        <v>1265</v>
      </c>
      <c r="I7" s="14" t="s">
        <v>1524</v>
      </c>
      <c r="J7" s="14" t="s">
        <v>1365</v>
      </c>
      <c r="K7" s="14" t="s">
        <v>1524</v>
      </c>
      <c r="L7" s="14" t="s">
        <v>1366</v>
      </c>
      <c r="M7" s="14" t="s">
        <v>1524</v>
      </c>
      <c r="N7" s="14" t="s">
        <v>434</v>
      </c>
      <c r="O7" s="14" t="s">
        <v>1524</v>
      </c>
      <c r="P7" s="14" t="s">
        <v>435</v>
      </c>
      <c r="Q7" s="14" t="s">
        <v>1524</v>
      </c>
      <c r="R7" s="14" t="s">
        <v>436</v>
      </c>
      <c r="S7" s="14" t="s">
        <v>1524</v>
      </c>
      <c r="W7" s="62" t="s">
        <v>1669</v>
      </c>
      <c r="X7" s="62"/>
      <c r="Y7" s="62"/>
    </row>
    <row r="8" spans="1:23" ht="24.75">
      <c r="A8" t="s">
        <v>1367</v>
      </c>
      <c r="B8" s="21">
        <f>B21</f>
        <v>0.01608323</v>
      </c>
      <c r="C8" s="21">
        <f>C21</f>
        <v>0.12574863</v>
      </c>
      <c r="D8" s="21"/>
      <c r="E8" s="21"/>
      <c r="F8" s="21"/>
      <c r="G8" s="21"/>
      <c r="H8" s="21">
        <f>H21</f>
        <v>0.14971507</v>
      </c>
      <c r="I8" s="21">
        <f>I21</f>
        <v>1.4856725</v>
      </c>
      <c r="J8" s="21"/>
      <c r="K8" s="21"/>
      <c r="L8" s="21"/>
      <c r="M8" s="21"/>
      <c r="N8" s="21">
        <f>B35</f>
        <v>0.33096155</v>
      </c>
      <c r="O8" s="21">
        <f>C35</f>
        <v>1.31633</v>
      </c>
      <c r="P8" s="21"/>
      <c r="Q8" s="21"/>
      <c r="R8" s="21"/>
      <c r="S8" s="21"/>
      <c r="T8">
        <v>3</v>
      </c>
      <c r="V8" s="49" t="s">
        <v>1664</v>
      </c>
      <c r="W8" s="42" t="str">
        <f>CONCATENATE(TEXT(B8,"0.000"),"    (",TEXT(B8/C8,"0.000"),")***")</f>
        <v>0.016    (0.128)***</v>
      </c>
    </row>
    <row r="9" spans="1:24" ht="24.75">
      <c r="A9" s="18" t="s">
        <v>1368</v>
      </c>
      <c r="B9" s="21"/>
      <c r="C9" s="21"/>
      <c r="D9" s="21">
        <f>D22</f>
        <v>2.9884567</v>
      </c>
      <c r="E9" s="21">
        <f>E22</f>
        <v>1.7203011</v>
      </c>
      <c r="F9" s="21"/>
      <c r="G9" s="21"/>
      <c r="H9" s="21"/>
      <c r="I9" s="21"/>
      <c r="J9" s="21">
        <f>J22</f>
        <v>2.4322124</v>
      </c>
      <c r="K9" s="21">
        <f>K22</f>
        <v>1.7063558</v>
      </c>
      <c r="L9" s="21"/>
      <c r="M9" s="21"/>
      <c r="N9" s="21"/>
      <c r="O9" s="21"/>
      <c r="P9" s="21">
        <f>D36</f>
        <v>3.8720404</v>
      </c>
      <c r="Q9" s="21">
        <f>E36</f>
        <v>2.7016282</v>
      </c>
      <c r="R9" s="21"/>
      <c r="S9" s="21"/>
      <c r="T9">
        <v>3</v>
      </c>
      <c r="V9" s="50" t="s">
        <v>1665</v>
      </c>
      <c r="X9" s="42" t="str">
        <f>CONCATENATE(TEXT(D9,"0.000"),"    (",TEXT(D9/E9,"0.000"),")**")</f>
        <v>2.988    (1.737)**</v>
      </c>
    </row>
    <row r="10" spans="1:25" ht="24.75">
      <c r="A10" s="18" t="s">
        <v>1530</v>
      </c>
      <c r="B10" s="21"/>
      <c r="C10" s="21"/>
      <c r="D10" s="21"/>
      <c r="E10" s="21"/>
      <c r="F10" s="21">
        <f>F23</f>
        <v>0.70418726</v>
      </c>
      <c r="G10" s="21">
        <f>G23</f>
        <v>0.48319026</v>
      </c>
      <c r="H10" s="21"/>
      <c r="I10" s="21"/>
      <c r="J10" s="21"/>
      <c r="K10" s="21"/>
      <c r="L10" s="21">
        <f>L23</f>
        <v>1.7526947</v>
      </c>
      <c r="M10" s="21">
        <f>M23</f>
        <v>1.4687294</v>
      </c>
      <c r="N10" s="21"/>
      <c r="O10" s="21"/>
      <c r="P10" s="21"/>
      <c r="Q10" s="21"/>
      <c r="R10" s="21">
        <f>F37</f>
        <v>2.8879876</v>
      </c>
      <c r="S10" s="21">
        <f>G37</f>
        <v>1.6218165</v>
      </c>
      <c r="T10">
        <v>3</v>
      </c>
      <c r="V10" s="50" t="s">
        <v>1668</v>
      </c>
      <c r="Y10" s="42" t="str">
        <f>CONCATENATE(TEXT(F10,"0.000"),"    (",TEXT(F10/G10,"0.000"),")**")</f>
        <v>0.704    (1.457)**</v>
      </c>
    </row>
    <row r="11" spans="1:25" ht="12">
      <c r="A11" t="s">
        <v>1126</v>
      </c>
      <c r="C11" s="21"/>
      <c r="D11" s="21"/>
      <c r="E11" s="21"/>
      <c r="G11" s="21"/>
      <c r="H11" s="21">
        <f>H24</f>
        <v>-0.02336148</v>
      </c>
      <c r="I11" s="21">
        <f>I24</f>
        <v>-4.6773854</v>
      </c>
      <c r="J11" s="21">
        <f>J24</f>
        <v>-0.02019029</v>
      </c>
      <c r="K11" s="21">
        <f>K24</f>
        <v>-4.1120296</v>
      </c>
      <c r="L11" s="21">
        <f>L24</f>
        <v>-0.02158644</v>
      </c>
      <c r="M11" s="21">
        <f>M24</f>
        <v>-4.4175909</v>
      </c>
      <c r="N11" s="21">
        <f>B38</f>
        <v>-0.02732166</v>
      </c>
      <c r="O11" s="21">
        <f>C38</f>
        <v>-4.9733011</v>
      </c>
      <c r="P11" s="21">
        <f>D38</f>
        <v>-0.0206283</v>
      </c>
      <c r="Q11" s="21">
        <f>E38</f>
        <v>-5.8930481</v>
      </c>
      <c r="R11" s="21">
        <f>F38</f>
        <v>-0.02288725</v>
      </c>
      <c r="S11" s="21">
        <f>G38</f>
        <v>-5.7509561</v>
      </c>
      <c r="T11">
        <v>3</v>
      </c>
      <c r="V11" t="s">
        <v>1667</v>
      </c>
      <c r="W11" s="51" t="s">
        <v>1381</v>
      </c>
      <c r="X11" s="51" t="s">
        <v>1381</v>
      </c>
      <c r="Y11" s="51" t="s">
        <v>1381</v>
      </c>
    </row>
    <row r="12" spans="1:25" ht="12">
      <c r="A12" t="s">
        <v>1127</v>
      </c>
      <c r="C12" s="21"/>
      <c r="D12" s="21"/>
      <c r="E12" s="21"/>
      <c r="G12" s="21"/>
      <c r="H12" s="21">
        <f>H25</f>
        <v>0.0562762</v>
      </c>
      <c r="I12" s="21">
        <f>I25</f>
        <v>1.6928446</v>
      </c>
      <c r="J12" s="21">
        <f>J25</f>
        <v>0.0606061</v>
      </c>
      <c r="K12" s="21">
        <f>K25</f>
        <v>1.8330444</v>
      </c>
      <c r="L12" s="21">
        <f>L25</f>
        <v>0.05955673</v>
      </c>
      <c r="M12" s="21">
        <f>M25</f>
        <v>1.7780613</v>
      </c>
      <c r="N12" s="21">
        <f>B39</f>
        <v>0.19435451</v>
      </c>
      <c r="O12" s="21">
        <f>C39</f>
        <v>3.3858397</v>
      </c>
      <c r="P12" s="21">
        <f>D39</f>
        <v>0.19579723</v>
      </c>
      <c r="Q12" s="21">
        <f>E39</f>
        <v>4.2392439</v>
      </c>
      <c r="R12" s="21">
        <f>F39</f>
        <v>0.18988599</v>
      </c>
      <c r="S12" s="21">
        <f>G39</f>
        <v>3.5276023</v>
      </c>
      <c r="T12">
        <v>3</v>
      </c>
      <c r="W12" s="51"/>
      <c r="X12" s="51"/>
      <c r="Y12" s="51"/>
    </row>
    <row r="13" spans="1:25" ht="12">
      <c r="A13" t="s">
        <v>317</v>
      </c>
      <c r="C13" s="21"/>
      <c r="D13" s="21"/>
      <c r="E13" s="21"/>
      <c r="G13" s="21"/>
      <c r="H13" s="21">
        <f aca="true" t="shared" si="0" ref="H13:M14">H26</f>
        <v>-0.18875054</v>
      </c>
      <c r="I13" s="21">
        <f t="shared" si="0"/>
        <v>-3.7808966</v>
      </c>
      <c r="J13" s="21">
        <f t="shared" si="0"/>
        <v>-0.17921322</v>
      </c>
      <c r="K13" s="21">
        <f t="shared" si="0"/>
        <v>-3.6505802</v>
      </c>
      <c r="L13" s="21">
        <f t="shared" si="0"/>
        <v>-0.19504114</v>
      </c>
      <c r="M13" s="21">
        <f t="shared" si="0"/>
        <v>-3.8564649</v>
      </c>
      <c r="N13" s="21">
        <f aca="true" t="shared" si="1" ref="N13:S13">B40</f>
        <v>-0.24640452</v>
      </c>
      <c r="O13" s="21">
        <f t="shared" si="1"/>
        <v>-5.096417</v>
      </c>
      <c r="P13" s="21">
        <f t="shared" si="1"/>
        <v>-0.22278038</v>
      </c>
      <c r="Q13" s="21">
        <f t="shared" si="1"/>
        <v>-6.1053057</v>
      </c>
      <c r="R13" s="21">
        <f t="shared" si="1"/>
        <v>-0.24757105</v>
      </c>
      <c r="S13" s="21">
        <f>G40</f>
        <v>-5.4142881</v>
      </c>
      <c r="T13">
        <v>3</v>
      </c>
      <c r="W13" s="51"/>
      <c r="X13" s="51"/>
      <c r="Y13" s="51"/>
    </row>
    <row r="14" spans="1:25" ht="12">
      <c r="A14" t="s">
        <v>1125</v>
      </c>
      <c r="C14" s="21"/>
      <c r="D14" s="21"/>
      <c r="E14" s="21"/>
      <c r="G14" s="21"/>
      <c r="H14" s="21">
        <f aca="true" t="shared" si="2" ref="H14:M14">H27</f>
        <v>-0.0482947</v>
      </c>
      <c r="I14" s="21">
        <f t="shared" si="2"/>
        <v>-1.2753789</v>
      </c>
      <c r="J14" s="21">
        <f t="shared" si="2"/>
        <v>-0.02847411</v>
      </c>
      <c r="K14" s="21">
        <f t="shared" si="2"/>
        <v>-0.75367363</v>
      </c>
      <c r="L14" s="21">
        <f t="shared" si="2"/>
        <v>-0.02965924</v>
      </c>
      <c r="M14" s="21">
        <f t="shared" si="2"/>
        <v>-0.7736572</v>
      </c>
      <c r="N14" s="21"/>
      <c r="O14" s="21"/>
      <c r="P14" s="21"/>
      <c r="Q14" s="21"/>
      <c r="R14" s="21"/>
      <c r="S14" s="21"/>
      <c r="T14">
        <v>3</v>
      </c>
      <c r="W14" s="51"/>
      <c r="X14" s="51"/>
      <c r="Y14" s="51"/>
    </row>
    <row r="15" spans="1:20" ht="12">
      <c r="A15" t="s">
        <v>1371</v>
      </c>
      <c r="B15" s="21">
        <f>B29</f>
        <v>0.00047894</v>
      </c>
      <c r="C15" s="21"/>
      <c r="D15" s="21">
        <f>D29</f>
        <v>0.08229928</v>
      </c>
      <c r="E15" s="21"/>
      <c r="F15" s="21">
        <f>F29</f>
        <v>0.00702523</v>
      </c>
      <c r="G15" s="21"/>
      <c r="H15" s="21">
        <f>H29</f>
        <v>0.5019466</v>
      </c>
      <c r="I15" s="21"/>
      <c r="J15" s="21">
        <f>J29</f>
        <v>0.51408159</v>
      </c>
      <c r="K15" s="21"/>
      <c r="L15" s="21">
        <f>L29</f>
        <v>0.50106118</v>
      </c>
      <c r="M15" s="21"/>
      <c r="N15" s="21">
        <f>B43</f>
        <v>0.77841685</v>
      </c>
      <c r="O15" s="21"/>
      <c r="P15" s="21">
        <f>D43</f>
        <v>0.84581732</v>
      </c>
      <c r="Q15" s="21"/>
      <c r="R15" s="21">
        <f>F43</f>
        <v>0.79300826</v>
      </c>
      <c r="S15" s="21"/>
      <c r="T15">
        <v>3</v>
      </c>
    </row>
    <row r="16" spans="1:20" ht="12">
      <c r="A16" t="s">
        <v>1375</v>
      </c>
      <c r="B16" s="21">
        <f>B31</f>
        <v>66</v>
      </c>
      <c r="C16" s="21"/>
      <c r="D16" s="21">
        <f>D31</f>
        <v>67</v>
      </c>
      <c r="E16" s="21"/>
      <c r="F16" s="21">
        <f>F31</f>
        <v>67</v>
      </c>
      <c r="G16" s="21"/>
      <c r="H16" s="21">
        <f>H31</f>
        <v>62</v>
      </c>
      <c r="I16" s="21"/>
      <c r="J16" s="21">
        <f>J31</f>
        <v>62</v>
      </c>
      <c r="K16" s="21"/>
      <c r="L16" s="21">
        <f>L31</f>
        <v>62</v>
      </c>
      <c r="M16" s="21"/>
      <c r="N16" s="21">
        <f>B45</f>
        <v>31</v>
      </c>
      <c r="O16" s="21"/>
      <c r="P16" s="21">
        <f>D45</f>
        <v>31</v>
      </c>
      <c r="Q16" s="21"/>
      <c r="R16" s="21">
        <f>F45</f>
        <v>31</v>
      </c>
      <c r="S16" s="21"/>
      <c r="T16">
        <v>0</v>
      </c>
    </row>
    <row r="17" spans="1:20" ht="12">
      <c r="A17" t="s">
        <v>1376</v>
      </c>
      <c r="B17" s="21">
        <f>B32</f>
        <v>35</v>
      </c>
      <c r="C17" s="21"/>
      <c r="D17" s="21">
        <f>D32</f>
        <v>35</v>
      </c>
      <c r="E17" s="21"/>
      <c r="F17" s="21">
        <f>F32</f>
        <v>35</v>
      </c>
      <c r="G17" s="21"/>
      <c r="H17" s="21">
        <f>H32</f>
        <v>32</v>
      </c>
      <c r="I17" s="21"/>
      <c r="J17" s="21">
        <f>J32</f>
        <v>32</v>
      </c>
      <c r="K17" s="21"/>
      <c r="L17" s="21">
        <f>L32</f>
        <v>32</v>
      </c>
      <c r="M17" s="21"/>
      <c r="N17" s="21">
        <f>B46</f>
        <v>16</v>
      </c>
      <c r="O17" s="21"/>
      <c r="P17" s="21">
        <f>D46</f>
        <v>16</v>
      </c>
      <c r="Q17" s="21"/>
      <c r="R17" s="21">
        <f>F46</f>
        <v>16</v>
      </c>
      <c r="S17" s="21"/>
      <c r="T17">
        <v>0</v>
      </c>
    </row>
    <row r="18" spans="1:12" ht="12">
      <c r="A18" s="19"/>
      <c r="B18" s="17"/>
      <c r="C18" s="17"/>
      <c r="D18" s="17">
        <v>0.026</v>
      </c>
      <c r="E18" s="17"/>
      <c r="F18" s="17">
        <v>0.027</v>
      </c>
      <c r="G18" s="17"/>
      <c r="H18" s="17">
        <f>(Table10!C9+Table10!E9)/2</f>
        <v>18.8490665</v>
      </c>
      <c r="I18" s="17"/>
      <c r="J18">
        <f>(Table10!C10+Table10!E11)/2</f>
        <v>1.5460445</v>
      </c>
      <c r="L18">
        <f>(Table10!C11+Table10!E11)/2</f>
        <v>1.8419965</v>
      </c>
    </row>
    <row r="19" spans="1:12" ht="12">
      <c r="A19" s="19"/>
      <c r="B19" s="17"/>
      <c r="C19" s="17"/>
      <c r="D19" s="7">
        <f>D18*D9</f>
        <v>0.07769987419999999</v>
      </c>
      <c r="E19" s="7"/>
      <c r="F19" s="7">
        <f>F18*F10</f>
        <v>0.01901305602</v>
      </c>
      <c r="G19" s="17"/>
      <c r="H19" s="17">
        <f>H18*H8</f>
        <v>2.821989310482155</v>
      </c>
      <c r="I19" s="17"/>
      <c r="J19">
        <f>J18*J9</f>
        <v>3.7603086038518003</v>
      </c>
      <c r="L19">
        <f>L18*L10</f>
        <v>3.22845750296855</v>
      </c>
    </row>
    <row r="20" spans="1:13" ht="12">
      <c r="A20" s="19"/>
      <c r="B20" s="17" t="s">
        <v>1154</v>
      </c>
      <c r="C20" s="17" t="s">
        <v>1155</v>
      </c>
      <c r="D20" s="17" t="s">
        <v>1156</v>
      </c>
      <c r="E20" s="17" t="s">
        <v>1157</v>
      </c>
      <c r="F20" s="17" t="s">
        <v>1377</v>
      </c>
      <c r="G20" s="17" t="s">
        <v>1378</v>
      </c>
      <c r="H20" s="17" t="s">
        <v>1379</v>
      </c>
      <c r="I20" s="17" t="s">
        <v>1380</v>
      </c>
      <c r="J20" t="s">
        <v>1517</v>
      </c>
      <c r="K20" t="s">
        <v>1518</v>
      </c>
      <c r="L20" t="s">
        <v>1519</v>
      </c>
      <c r="M20" t="s">
        <v>1520</v>
      </c>
    </row>
    <row r="21" spans="1:13" ht="12">
      <c r="A21" s="19" t="s">
        <v>1158</v>
      </c>
      <c r="B21" s="17">
        <v>0.01608323</v>
      </c>
      <c r="C21" s="17">
        <v>0.12574863</v>
      </c>
      <c r="D21" s="17">
        <v>0</v>
      </c>
      <c r="E21" s="17">
        <v>0</v>
      </c>
      <c r="F21" s="17">
        <v>0</v>
      </c>
      <c r="G21" s="17">
        <v>0</v>
      </c>
      <c r="H21" s="17">
        <v>0.14971507</v>
      </c>
      <c r="I21" s="17">
        <v>1.4856725</v>
      </c>
      <c r="J21">
        <v>0</v>
      </c>
      <c r="K21">
        <v>0</v>
      </c>
      <c r="L21">
        <v>0</v>
      </c>
      <c r="M21">
        <v>0</v>
      </c>
    </row>
    <row r="22" spans="1:13" ht="12">
      <c r="A22" s="19" t="s">
        <v>1159</v>
      </c>
      <c r="B22" s="17">
        <v>0</v>
      </c>
      <c r="C22" s="17">
        <v>0</v>
      </c>
      <c r="D22" s="17">
        <v>2.9884567</v>
      </c>
      <c r="E22" s="17">
        <v>1.7203011</v>
      </c>
      <c r="F22" s="17">
        <v>0</v>
      </c>
      <c r="G22" s="17">
        <v>0</v>
      </c>
      <c r="H22" s="17">
        <v>0</v>
      </c>
      <c r="I22" s="17">
        <v>0</v>
      </c>
      <c r="J22">
        <v>2.4322124</v>
      </c>
      <c r="K22">
        <v>1.7063558</v>
      </c>
      <c r="L22">
        <v>0</v>
      </c>
      <c r="M22">
        <v>0</v>
      </c>
    </row>
    <row r="23" spans="1:13" ht="12">
      <c r="A23" s="19" t="s">
        <v>1160</v>
      </c>
      <c r="B23" s="17">
        <v>0</v>
      </c>
      <c r="C23" s="17">
        <v>0</v>
      </c>
      <c r="D23" s="17">
        <v>0</v>
      </c>
      <c r="E23" s="17">
        <v>0</v>
      </c>
      <c r="F23" s="17">
        <v>0.70418726</v>
      </c>
      <c r="G23" s="17">
        <v>0.48319026</v>
      </c>
      <c r="H23" s="17">
        <v>0</v>
      </c>
      <c r="I23" s="17">
        <v>0</v>
      </c>
      <c r="J23">
        <v>0</v>
      </c>
      <c r="K23">
        <v>0</v>
      </c>
      <c r="L23">
        <v>1.7526947</v>
      </c>
      <c r="M23">
        <v>1.4687294</v>
      </c>
    </row>
    <row r="24" spans="1:13" ht="12">
      <c r="A24" s="19" t="s">
        <v>1161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-0.02336148</v>
      </c>
      <c r="I24" s="17">
        <v>-4.6773854</v>
      </c>
      <c r="J24">
        <v>-0.02019029</v>
      </c>
      <c r="K24">
        <v>-4.1120296</v>
      </c>
      <c r="L24">
        <v>-0.02158644</v>
      </c>
      <c r="M24">
        <v>-4.4175909</v>
      </c>
    </row>
    <row r="25" spans="1:13" ht="12">
      <c r="A25" t="s">
        <v>1162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0.0562762</v>
      </c>
      <c r="I25">
        <v>1.6928446</v>
      </c>
      <c r="J25">
        <v>0.0606061</v>
      </c>
      <c r="K25">
        <v>1.8330444</v>
      </c>
      <c r="L25">
        <v>0.05955673</v>
      </c>
      <c r="M25">
        <v>1.7780613</v>
      </c>
    </row>
    <row r="26" spans="1:13" ht="12">
      <c r="A26" t="s">
        <v>1163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-0.18875054</v>
      </c>
      <c r="I26">
        <v>-3.7808966</v>
      </c>
      <c r="J26">
        <v>-0.17921322</v>
      </c>
      <c r="K26">
        <v>-3.6505802</v>
      </c>
      <c r="L26">
        <v>-0.19504114</v>
      </c>
      <c r="M26">
        <v>-3.8564649</v>
      </c>
    </row>
    <row r="27" spans="1:13" ht="12">
      <c r="A27" t="s">
        <v>1164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-0.0482947</v>
      </c>
      <c r="I27">
        <v>-1.2753789</v>
      </c>
      <c r="J27">
        <v>-0.02847411</v>
      </c>
      <c r="K27">
        <v>-0.75367363</v>
      </c>
      <c r="L27">
        <v>-0.02965924</v>
      </c>
      <c r="M27">
        <v>-0.7736572</v>
      </c>
    </row>
    <row r="28" spans="1:13" ht="12">
      <c r="A28" t="s">
        <v>1165</v>
      </c>
      <c r="B28">
        <v>0.00884505</v>
      </c>
      <c r="C28">
        <v>0</v>
      </c>
      <c r="D28">
        <v>0.02323474</v>
      </c>
      <c r="E28">
        <v>0</v>
      </c>
      <c r="F28">
        <v>0.02485435</v>
      </c>
      <c r="G28">
        <v>0</v>
      </c>
      <c r="H28">
        <v>0.03694348</v>
      </c>
      <c r="I28">
        <v>0</v>
      </c>
      <c r="J28">
        <v>0.05810714</v>
      </c>
      <c r="K28">
        <v>0</v>
      </c>
      <c r="L28">
        <v>0.05635518</v>
      </c>
      <c r="M28">
        <v>0</v>
      </c>
    </row>
    <row r="29" spans="1:13" ht="12">
      <c r="A29" t="s">
        <v>1166</v>
      </c>
      <c r="B29">
        <v>0.00047894</v>
      </c>
      <c r="C29">
        <v>0</v>
      </c>
      <c r="D29">
        <v>0.08229928</v>
      </c>
      <c r="E29">
        <v>0</v>
      </c>
      <c r="F29">
        <v>0.00702523</v>
      </c>
      <c r="G29">
        <v>0</v>
      </c>
      <c r="H29">
        <v>0.5019466</v>
      </c>
      <c r="I29">
        <v>0</v>
      </c>
      <c r="J29">
        <v>0.51408159</v>
      </c>
      <c r="K29">
        <v>0</v>
      </c>
      <c r="L29">
        <v>0.50106118</v>
      </c>
      <c r="M29">
        <v>0</v>
      </c>
    </row>
    <row r="30" spans="1:13" ht="12">
      <c r="A30" t="s">
        <v>1167</v>
      </c>
      <c r="B30">
        <v>0.00184082</v>
      </c>
      <c r="C30">
        <v>0</v>
      </c>
      <c r="D30">
        <v>0.02588725</v>
      </c>
      <c r="E30">
        <v>0</v>
      </c>
      <c r="F30">
        <v>0.00080211</v>
      </c>
      <c r="G30">
        <v>0</v>
      </c>
      <c r="H30">
        <v>0.31324704</v>
      </c>
      <c r="I30">
        <v>0</v>
      </c>
      <c r="J30">
        <v>0.29432266</v>
      </c>
      <c r="K30">
        <v>0</v>
      </c>
      <c r="L30">
        <v>0.2915599</v>
      </c>
      <c r="M30">
        <v>0</v>
      </c>
    </row>
    <row r="31" spans="1:13" ht="12">
      <c r="A31" t="s">
        <v>1168</v>
      </c>
      <c r="B31">
        <v>66</v>
      </c>
      <c r="C31">
        <v>0</v>
      </c>
      <c r="D31">
        <v>67</v>
      </c>
      <c r="E31">
        <v>0</v>
      </c>
      <c r="F31">
        <v>67</v>
      </c>
      <c r="G31">
        <v>0</v>
      </c>
      <c r="H31">
        <v>62</v>
      </c>
      <c r="I31">
        <v>0</v>
      </c>
      <c r="J31">
        <v>62</v>
      </c>
      <c r="K31">
        <v>0</v>
      </c>
      <c r="L31">
        <v>62</v>
      </c>
      <c r="M31">
        <v>0</v>
      </c>
    </row>
    <row r="32" spans="1:13" ht="12">
      <c r="A32" t="s">
        <v>1169</v>
      </c>
      <c r="B32">
        <v>35</v>
      </c>
      <c r="C32">
        <v>0</v>
      </c>
      <c r="D32">
        <v>35</v>
      </c>
      <c r="E32">
        <v>0</v>
      </c>
      <c r="F32">
        <v>35</v>
      </c>
      <c r="G32">
        <v>0</v>
      </c>
      <c r="H32">
        <v>32</v>
      </c>
      <c r="I32">
        <v>0</v>
      </c>
      <c r="J32">
        <v>32</v>
      </c>
      <c r="K32">
        <v>0</v>
      </c>
      <c r="L32">
        <v>32</v>
      </c>
      <c r="M32">
        <v>0</v>
      </c>
    </row>
    <row r="34" spans="2:7" ht="12">
      <c r="B34" t="s">
        <v>428</v>
      </c>
      <c r="C34" t="s">
        <v>429</v>
      </c>
      <c r="D34" t="s">
        <v>430</v>
      </c>
      <c r="E34" t="s">
        <v>431</v>
      </c>
      <c r="F34" t="s">
        <v>432</v>
      </c>
      <c r="G34" t="s">
        <v>433</v>
      </c>
    </row>
    <row r="35" spans="1:7" ht="12">
      <c r="A35" t="s">
        <v>1158</v>
      </c>
      <c r="B35">
        <v>0.33096155</v>
      </c>
      <c r="C35">
        <v>1.31633</v>
      </c>
      <c r="D35">
        <v>0</v>
      </c>
      <c r="E35">
        <v>0</v>
      </c>
      <c r="F35">
        <v>0</v>
      </c>
      <c r="G35">
        <v>0</v>
      </c>
    </row>
    <row r="36" spans="1:7" ht="12">
      <c r="A36" t="s">
        <v>1159</v>
      </c>
      <c r="B36">
        <v>0</v>
      </c>
      <c r="C36">
        <v>0</v>
      </c>
      <c r="D36">
        <v>3.8720404</v>
      </c>
      <c r="E36">
        <v>2.7016282</v>
      </c>
      <c r="F36">
        <v>0</v>
      </c>
      <c r="G36">
        <v>0</v>
      </c>
    </row>
    <row r="37" spans="1:7" ht="12">
      <c r="A37" t="s">
        <v>1160</v>
      </c>
      <c r="B37">
        <v>0</v>
      </c>
      <c r="C37">
        <v>0</v>
      </c>
      <c r="D37">
        <v>0</v>
      </c>
      <c r="E37">
        <v>0</v>
      </c>
      <c r="F37">
        <v>2.8879876</v>
      </c>
      <c r="G37">
        <v>1.6218165</v>
      </c>
    </row>
    <row r="38" spans="1:7" ht="12">
      <c r="A38" t="s">
        <v>1161</v>
      </c>
      <c r="B38">
        <v>-0.02732166</v>
      </c>
      <c r="C38">
        <v>-4.9733011</v>
      </c>
      <c r="D38">
        <v>-0.0206283</v>
      </c>
      <c r="E38">
        <v>-5.8930481</v>
      </c>
      <c r="F38">
        <v>-0.02288725</v>
      </c>
      <c r="G38">
        <v>-5.7509561</v>
      </c>
    </row>
    <row r="39" spans="1:7" ht="12">
      <c r="A39" t="s">
        <v>1162</v>
      </c>
      <c r="B39">
        <v>0.19435451</v>
      </c>
      <c r="C39">
        <v>3.3858397</v>
      </c>
      <c r="D39">
        <v>0.19579723</v>
      </c>
      <c r="E39">
        <v>4.2392439</v>
      </c>
      <c r="F39">
        <v>0.18988599</v>
      </c>
      <c r="G39">
        <v>3.5276023</v>
      </c>
    </row>
    <row r="40" spans="1:7" ht="12">
      <c r="A40" t="s">
        <v>1163</v>
      </c>
      <c r="B40">
        <v>-0.24640452</v>
      </c>
      <c r="C40">
        <v>-5.096417</v>
      </c>
      <c r="D40">
        <v>-0.22278038</v>
      </c>
      <c r="E40">
        <v>-6.1053057</v>
      </c>
      <c r="F40">
        <v>-0.24757105</v>
      </c>
      <c r="G40">
        <v>-5.4142881</v>
      </c>
    </row>
    <row r="41" spans="1:7" ht="12">
      <c r="A41" t="s">
        <v>1164</v>
      </c>
      <c r="B41">
        <v>0.43732342</v>
      </c>
      <c r="C41">
        <v>10.420016</v>
      </c>
      <c r="D41">
        <v>0.38630922</v>
      </c>
      <c r="E41">
        <v>9.2924879</v>
      </c>
      <c r="F41">
        <v>0.41843482</v>
      </c>
      <c r="G41">
        <v>9.4651439</v>
      </c>
    </row>
    <row r="42" spans="1:7" ht="12">
      <c r="A42" t="s">
        <v>1165</v>
      </c>
      <c r="B42">
        <v>0.63240098</v>
      </c>
      <c r="C42">
        <v>0</v>
      </c>
      <c r="D42">
        <v>0.54559603</v>
      </c>
      <c r="E42">
        <v>0</v>
      </c>
      <c r="F42">
        <v>0.72933059</v>
      </c>
      <c r="G42">
        <v>0</v>
      </c>
    </row>
    <row r="43" spans="1:7" ht="12">
      <c r="A43" t="s">
        <v>1166</v>
      </c>
      <c r="B43">
        <v>0.77841685</v>
      </c>
      <c r="C43">
        <v>0</v>
      </c>
      <c r="D43">
        <v>0.84581732</v>
      </c>
      <c r="E43">
        <v>0</v>
      </c>
      <c r="F43">
        <v>0.79300826</v>
      </c>
      <c r="G43">
        <v>0</v>
      </c>
    </row>
    <row r="44" spans="1:7" ht="12">
      <c r="A44" t="s">
        <v>1167</v>
      </c>
      <c r="B44">
        <v>0.35043655</v>
      </c>
      <c r="C44">
        <v>0</v>
      </c>
      <c r="D44">
        <v>0.36441925</v>
      </c>
      <c r="E44">
        <v>0</v>
      </c>
      <c r="F44">
        <v>0.35159917</v>
      </c>
      <c r="G44">
        <v>0</v>
      </c>
    </row>
    <row r="45" spans="1:7" ht="12">
      <c r="A45" t="s">
        <v>1168</v>
      </c>
      <c r="B45">
        <v>31</v>
      </c>
      <c r="C45">
        <v>0</v>
      </c>
      <c r="D45">
        <v>31</v>
      </c>
      <c r="E45">
        <v>0</v>
      </c>
      <c r="F45">
        <v>31</v>
      </c>
      <c r="G45">
        <v>0</v>
      </c>
    </row>
    <row r="46" spans="1:7" ht="12">
      <c r="A46" t="s">
        <v>1169</v>
      </c>
      <c r="B46">
        <v>16</v>
      </c>
      <c r="C46">
        <v>0</v>
      </c>
      <c r="D46">
        <v>16</v>
      </c>
      <c r="E46">
        <v>0</v>
      </c>
      <c r="F46">
        <v>16</v>
      </c>
      <c r="G46">
        <v>0</v>
      </c>
    </row>
    <row r="55" ht="12">
      <c r="A55" t="s">
        <v>463</v>
      </c>
    </row>
    <row r="56" ht="12">
      <c r="A56" t="s">
        <v>1703</v>
      </c>
    </row>
    <row r="57" ht="12">
      <c r="A57" t="s">
        <v>464</v>
      </c>
    </row>
    <row r="58" ht="12">
      <c r="A58" t="s">
        <v>465</v>
      </c>
    </row>
    <row r="59" ht="12">
      <c r="A59" t="s">
        <v>1706</v>
      </c>
    </row>
    <row r="60" ht="12">
      <c r="A60" t="s">
        <v>494</v>
      </c>
    </row>
    <row r="61" ht="12">
      <c r="A61" t="s">
        <v>495</v>
      </c>
    </row>
    <row r="62" ht="12">
      <c r="A62" t="s">
        <v>496</v>
      </c>
    </row>
    <row r="63" ht="12">
      <c r="A63" t="s">
        <v>497</v>
      </c>
    </row>
    <row r="64" ht="12">
      <c r="A64" t="s">
        <v>498</v>
      </c>
    </row>
    <row r="65" ht="12">
      <c r="A65" t="s">
        <v>499</v>
      </c>
    </row>
    <row r="66" ht="12">
      <c r="A66" t="s">
        <v>500</v>
      </c>
    </row>
    <row r="67" ht="12">
      <c r="A67" t="s">
        <v>501</v>
      </c>
    </row>
    <row r="68" ht="12">
      <c r="A68" t="s">
        <v>502</v>
      </c>
    </row>
    <row r="69" ht="12">
      <c r="A69" t="s">
        <v>503</v>
      </c>
    </row>
    <row r="70" ht="12">
      <c r="A70" t="s">
        <v>504</v>
      </c>
    </row>
    <row r="71" ht="12">
      <c r="A71" t="s">
        <v>505</v>
      </c>
    </row>
    <row r="72" ht="12">
      <c r="A72" t="s">
        <v>506</v>
      </c>
    </row>
    <row r="73" ht="12">
      <c r="A73" t="s">
        <v>507</v>
      </c>
    </row>
    <row r="74" ht="12">
      <c r="A74" t="s">
        <v>1706</v>
      </c>
    </row>
    <row r="75" ht="12">
      <c r="A75" t="s">
        <v>508</v>
      </c>
    </row>
    <row r="76" ht="12">
      <c r="A76" t="s">
        <v>466</v>
      </c>
    </row>
    <row r="77" ht="12">
      <c r="A77" t="s">
        <v>467</v>
      </c>
    </row>
    <row r="78" ht="12">
      <c r="A78" t="s">
        <v>66</v>
      </c>
    </row>
    <row r="79" ht="12">
      <c r="A79" t="s">
        <v>67</v>
      </c>
    </row>
  </sheetData>
  <mergeCells count="1">
    <mergeCell ref="W7:Y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29"/>
  <dimension ref="A1:N83"/>
  <sheetViews>
    <sheetView workbookViewId="0" topLeftCell="A1">
      <selection activeCell="A3" sqref="A3"/>
    </sheetView>
  </sheetViews>
  <sheetFormatPr defaultColWidth="9.00390625" defaultRowHeight="12.75"/>
  <cols>
    <col min="1" max="1" width="22.125" style="0" customWidth="1"/>
  </cols>
  <sheetData>
    <row r="1" spans="1:4" ht="12">
      <c r="A1" t="s">
        <v>1698</v>
      </c>
      <c r="B1">
        <v>4</v>
      </c>
      <c r="C1" t="s">
        <v>1699</v>
      </c>
      <c r="D1">
        <v>6</v>
      </c>
    </row>
    <row r="2" spans="1:2" ht="12">
      <c r="A2" t="s">
        <v>1700</v>
      </c>
      <c r="B2">
        <v>7</v>
      </c>
    </row>
    <row r="3" spans="1:2" ht="12">
      <c r="A3" t="s">
        <v>1701</v>
      </c>
      <c r="B3">
        <v>5</v>
      </c>
    </row>
    <row r="5" ht="12">
      <c r="A5" t="s">
        <v>509</v>
      </c>
    </row>
    <row r="6" spans="1:10" ht="12">
      <c r="A6" t="s">
        <v>491</v>
      </c>
      <c r="B6" t="s">
        <v>1367</v>
      </c>
      <c r="F6" t="s">
        <v>1368</v>
      </c>
      <c r="J6" t="s">
        <v>1530</v>
      </c>
    </row>
    <row r="7" spans="2:12" ht="12">
      <c r="B7" t="s">
        <v>1610</v>
      </c>
      <c r="D7" t="s">
        <v>492</v>
      </c>
      <c r="F7" t="s">
        <v>1610</v>
      </c>
      <c r="H7" t="s">
        <v>492</v>
      </c>
      <c r="J7" t="s">
        <v>1610</v>
      </c>
      <c r="L7" t="s">
        <v>492</v>
      </c>
    </row>
    <row r="8" spans="2:12" ht="12">
      <c r="B8" t="s">
        <v>114</v>
      </c>
      <c r="D8" t="s">
        <v>493</v>
      </c>
      <c r="F8" t="s">
        <v>114</v>
      </c>
      <c r="H8" t="s">
        <v>493</v>
      </c>
      <c r="J8" t="s">
        <v>114</v>
      </c>
      <c r="L8" t="s">
        <v>493</v>
      </c>
    </row>
    <row r="9" spans="2:13" ht="12">
      <c r="B9" s="14" t="s">
        <v>668</v>
      </c>
      <c r="C9" s="14" t="s">
        <v>1524</v>
      </c>
      <c r="D9" s="14" t="s">
        <v>669</v>
      </c>
      <c r="E9" s="14" t="s">
        <v>1524</v>
      </c>
      <c r="F9" s="14" t="s">
        <v>1264</v>
      </c>
      <c r="G9" s="14" t="s">
        <v>1524</v>
      </c>
      <c r="H9" s="14" t="s">
        <v>1265</v>
      </c>
      <c r="I9" s="14" t="s">
        <v>1524</v>
      </c>
      <c r="J9" s="14" t="s">
        <v>1365</v>
      </c>
      <c r="K9" s="14" t="s">
        <v>1524</v>
      </c>
      <c r="L9" s="14" t="s">
        <v>1366</v>
      </c>
      <c r="M9" s="14" t="s">
        <v>1524</v>
      </c>
    </row>
    <row r="10" spans="1:14" ht="12">
      <c r="A10" s="19" t="s">
        <v>317</v>
      </c>
      <c r="B10">
        <f>Table_12!D9</f>
        <v>0.0308484</v>
      </c>
      <c r="C10">
        <f>Table_12!E9</f>
        <v>0.62289431</v>
      </c>
      <c r="D10">
        <f>Table_12!H9</f>
        <v>0.02964056</v>
      </c>
      <c r="E10">
        <f>Table_12!I9</f>
        <v>0.37940283</v>
      </c>
      <c r="F10">
        <f>Table_12a!D9</f>
        <v>-0.00330238</v>
      </c>
      <c r="G10">
        <f>Table_12a!E9</f>
        <v>-0.64232638</v>
      </c>
      <c r="H10">
        <f>Table_12a!H9</f>
        <v>0.00100042</v>
      </c>
      <c r="I10">
        <f>Table_12a!I9</f>
        <v>0.16335799</v>
      </c>
      <c r="J10">
        <f>Table_12b!D9</f>
        <v>-0.01051179</v>
      </c>
      <c r="K10">
        <f>Table_12b!E9</f>
        <v>-1.1215311</v>
      </c>
      <c r="L10">
        <f>Table_12b!H9</f>
        <v>0.00569645</v>
      </c>
      <c r="M10">
        <f>Table_12b!I9</f>
        <v>1.1508076</v>
      </c>
      <c r="N10">
        <v>3</v>
      </c>
    </row>
    <row r="11" spans="1:14" ht="12">
      <c r="A11" s="19" t="s">
        <v>319</v>
      </c>
      <c r="B11">
        <f>Table_12!D10</f>
        <v>0.06543737</v>
      </c>
      <c r="C11">
        <f>Table_12!E10</f>
        <v>1.6515478</v>
      </c>
      <c r="D11">
        <f>Table_12!H10</f>
        <v>0.01499724</v>
      </c>
      <c r="E11">
        <f>Table_12!I10</f>
        <v>0.29453608</v>
      </c>
      <c r="F11">
        <f>Table_12a!D10</f>
        <v>0.00527023</v>
      </c>
      <c r="G11">
        <f>Table_12a!E10</f>
        <v>1.3258537</v>
      </c>
      <c r="H11">
        <f>Table_12a!H10</f>
        <v>-0.00063584</v>
      </c>
      <c r="I11">
        <f>Table_12a!I10</f>
        <v>-0.16198329</v>
      </c>
      <c r="J11">
        <f>Table_12b!D10</f>
        <v>0.0095167</v>
      </c>
      <c r="K11">
        <f>Table_12b!E10</f>
        <v>1.3307601</v>
      </c>
      <c r="L11">
        <f>Table_12b!H10</f>
        <v>0.00399445</v>
      </c>
      <c r="M11">
        <f>Table_12b!I10</f>
        <v>1.18794</v>
      </c>
      <c r="N11">
        <v>3</v>
      </c>
    </row>
    <row r="12" spans="1:14" ht="12">
      <c r="A12" s="19" t="s">
        <v>326</v>
      </c>
      <c r="B12">
        <f>Table_12!D11</f>
        <v>0.01893097</v>
      </c>
      <c r="C12">
        <f>Table_12!E11</f>
        <v>0.35500628</v>
      </c>
      <c r="D12">
        <f>Table_12!H11</f>
        <v>-0.13772998</v>
      </c>
      <c r="E12">
        <f>Table_12!I11</f>
        <v>-1.9951301</v>
      </c>
      <c r="F12">
        <f>Table_12a!D11</f>
        <v>-0.00293488</v>
      </c>
      <c r="G12">
        <f>Table_12a!E11</f>
        <v>-0.51321299</v>
      </c>
      <c r="H12">
        <f>Table_12a!H11</f>
        <v>-0.00017305</v>
      </c>
      <c r="I12">
        <f>Table_12a!I11</f>
        <v>-0.03214445</v>
      </c>
      <c r="J12">
        <f>Table_12b!D11</f>
        <v>0.01975114</v>
      </c>
      <c r="K12">
        <f>Table_12b!E11</f>
        <v>1.7769896</v>
      </c>
      <c r="L12">
        <f>Table_12b!H11</f>
        <v>0.00382237</v>
      </c>
      <c r="M12">
        <f>Table_12b!I11</f>
        <v>0.85407943</v>
      </c>
      <c r="N12">
        <v>3</v>
      </c>
    </row>
    <row r="13" spans="1:14" ht="12">
      <c r="A13" s="19" t="s">
        <v>1516</v>
      </c>
      <c r="B13">
        <f>Table_12!D12</f>
        <v>-0.01215099</v>
      </c>
      <c r="C13">
        <f>Table_12!E12</f>
        <v>-0.34823588</v>
      </c>
      <c r="D13">
        <f>Table_12!H12</f>
        <v>-0.10362545</v>
      </c>
      <c r="E13">
        <f>Table_12!I12</f>
        <v>-1.7399045</v>
      </c>
      <c r="F13">
        <f>Table_12a!D12</f>
        <v>-0.0075471</v>
      </c>
      <c r="G13">
        <f>Table_12a!E12</f>
        <v>-2.0869783</v>
      </c>
      <c r="H13">
        <f>Table_12a!H12</f>
        <v>-0.00960702</v>
      </c>
      <c r="I13">
        <f>Table_12a!I12</f>
        <v>-2.0496514</v>
      </c>
      <c r="J13">
        <f>Table_12b!D12</f>
        <v>-0.01061104</v>
      </c>
      <c r="K13">
        <f>Table_12b!E12</f>
        <v>-1.5687974</v>
      </c>
      <c r="L13">
        <f>Table_12b!H12</f>
        <v>0.00395597</v>
      </c>
      <c r="M13">
        <f>Table_12b!I12</f>
        <v>1.0023026</v>
      </c>
      <c r="N13">
        <v>3</v>
      </c>
    </row>
    <row r="14" spans="1:14" ht="12">
      <c r="A14" s="19" t="s">
        <v>968</v>
      </c>
      <c r="B14">
        <f>Table_12!D13</f>
        <v>0.06228808</v>
      </c>
      <c r="C14">
        <f>Table_12!E13</f>
        <v>1.080634</v>
      </c>
      <c r="D14">
        <f>Table_12!H13</f>
        <v>-0.01535399</v>
      </c>
      <c r="E14">
        <f>Table_12!I13</f>
        <v>-0.24300415</v>
      </c>
      <c r="F14">
        <f>Table_12a!D13</f>
        <v>0.00388666</v>
      </c>
      <c r="G14">
        <f>Table_12a!E13</f>
        <v>0.63125809</v>
      </c>
      <c r="H14">
        <f>Table_12a!H13</f>
        <v>-0.0020108</v>
      </c>
      <c r="I14">
        <f>Table_12a!I13</f>
        <v>-0.39598742</v>
      </c>
      <c r="J14">
        <f>Table_12b!D13</f>
        <v>0.01098561</v>
      </c>
      <c r="K14">
        <f>Table_12b!E13</f>
        <v>0.86708115</v>
      </c>
      <c r="L14">
        <f>Table_12b!H13</f>
        <v>-0.00414601</v>
      </c>
      <c r="M14">
        <f>Table_12b!I13</f>
        <v>-1.036192</v>
      </c>
      <c r="N14">
        <v>3</v>
      </c>
    </row>
    <row r="15" spans="1:14" ht="12">
      <c r="A15" s="19" t="s">
        <v>329</v>
      </c>
      <c r="B15">
        <f>Table_12!D14</f>
        <v>-0.06810395</v>
      </c>
      <c r="C15">
        <f>Table_12!E14</f>
        <v>-1.5907544</v>
      </c>
      <c r="D15">
        <f>Table_12!H14</f>
        <v>-0.03996598</v>
      </c>
      <c r="E15">
        <f>Table_12!I14</f>
        <v>-0.60788447</v>
      </c>
      <c r="F15">
        <f>Table_12a!D14</f>
        <v>0.00566029</v>
      </c>
      <c r="G15">
        <f>Table_12a!E14</f>
        <v>1.2646463</v>
      </c>
      <c r="H15">
        <f>Table_12a!H14</f>
        <v>-0.00241875</v>
      </c>
      <c r="I15">
        <f>Table_12a!I14</f>
        <v>-0.43712279</v>
      </c>
      <c r="J15">
        <f>Table_12b!D14</f>
        <v>0.00506682</v>
      </c>
      <c r="K15">
        <f>Table_12b!E14</f>
        <v>0.59819977</v>
      </c>
      <c r="L15">
        <f>Table_12b!H14</f>
        <v>-0.00783226</v>
      </c>
      <c r="M15">
        <f>Table_12b!I14</f>
        <v>-1.9003258</v>
      </c>
      <c r="N15">
        <v>3</v>
      </c>
    </row>
    <row r="16" spans="1:14" ht="12">
      <c r="A16" s="19" t="s">
        <v>978</v>
      </c>
      <c r="B16">
        <f>Table_12!D15</f>
        <v>-0.09130401</v>
      </c>
      <c r="C16">
        <f>Table_12!E15</f>
        <v>-2.2769046</v>
      </c>
      <c r="D16">
        <f>Table_12!H15</f>
        <v>-0.172331</v>
      </c>
      <c r="E16">
        <f>Table_12!I15</f>
        <v>-1.865762</v>
      </c>
      <c r="F16">
        <f>Table_12a!D15</f>
        <v>-0.01488684</v>
      </c>
      <c r="G16">
        <f>Table_12a!E15</f>
        <v>-3.7408083</v>
      </c>
      <c r="H16">
        <f>Table_12a!H15</f>
        <v>-0.05489246</v>
      </c>
      <c r="I16">
        <f>Table_12a!I15</f>
        <v>-7.5877142</v>
      </c>
      <c r="J16">
        <f>Table_12b!D15</f>
        <v>-0.01894993</v>
      </c>
      <c r="K16">
        <f>Table_12b!E15</f>
        <v>-2.5950531</v>
      </c>
      <c r="L16">
        <f>Table_12b!H15</f>
        <v>-0.02813723</v>
      </c>
      <c r="M16">
        <f>Table_12b!I15</f>
        <v>-4.7390592</v>
      </c>
      <c r="N16">
        <v>3</v>
      </c>
    </row>
    <row r="17" ht="12">
      <c r="A17" t="s">
        <v>1369</v>
      </c>
    </row>
    <row r="18" spans="1:12" ht="12">
      <c r="A18" s="19" t="s">
        <v>979</v>
      </c>
      <c r="B18" t="str">
        <f>Table_12!D17</f>
        <v>Y</v>
      </c>
      <c r="D18" t="str">
        <f>Table_12!H17</f>
        <v>Y</v>
      </c>
      <c r="F18" t="str">
        <f>Table_12a!D17</f>
        <v>Y</v>
      </c>
      <c r="H18" t="str">
        <f>Table_12a!H17</f>
        <v>Y</v>
      </c>
      <c r="J18" t="str">
        <f>Table_12b!D17</f>
        <v>Y</v>
      </c>
      <c r="L18" t="str">
        <f>Table_12b!H17</f>
        <v>Y</v>
      </c>
    </row>
    <row r="19" spans="1:14" ht="12">
      <c r="A19" t="s">
        <v>1371</v>
      </c>
      <c r="B19">
        <f>Table_12!D18</f>
        <v>0.13179383</v>
      </c>
      <c r="D19">
        <f>Table_12!H18</f>
        <v>0.17402411</v>
      </c>
      <c r="F19">
        <f>Table_12a!D18</f>
        <v>0.16438035</v>
      </c>
      <c r="H19">
        <f>Table_12a!H18</f>
        <v>0.48456928</v>
      </c>
      <c r="J19">
        <f>Table_12b!D18</f>
        <v>0.15037481</v>
      </c>
      <c r="L19">
        <f>Table_12b!H18</f>
        <v>0.3692326</v>
      </c>
      <c r="N19">
        <v>3</v>
      </c>
    </row>
    <row r="20" spans="1:14" ht="12">
      <c r="A20" t="s">
        <v>1375</v>
      </c>
      <c r="B20">
        <f>Table_12!D19</f>
        <v>295</v>
      </c>
      <c r="D20">
        <f>Table_12!H19</f>
        <v>80</v>
      </c>
      <c r="F20">
        <f>Table_12a!D19</f>
        <v>328</v>
      </c>
      <c r="H20">
        <f>Table_12a!H19</f>
        <v>88</v>
      </c>
      <c r="J20">
        <f>Table_12b!D19</f>
        <v>317</v>
      </c>
      <c r="L20">
        <f>Table_12b!H19</f>
        <v>88</v>
      </c>
      <c r="N20">
        <v>0</v>
      </c>
    </row>
    <row r="21" spans="1:14" ht="12">
      <c r="A21" t="s">
        <v>1376</v>
      </c>
      <c r="B21">
        <f>Table_12!D20</f>
        <v>165</v>
      </c>
      <c r="D21">
        <f>Table_12!H20</f>
        <v>47</v>
      </c>
      <c r="F21">
        <f>Table_12a!D20</f>
        <v>176</v>
      </c>
      <c r="H21">
        <f>Table_12a!H20</f>
        <v>49</v>
      </c>
      <c r="J21">
        <f>Table_12b!D20</f>
        <v>172</v>
      </c>
      <c r="L21">
        <f>Table_12b!H20</f>
        <v>48</v>
      </c>
      <c r="N21">
        <v>0</v>
      </c>
    </row>
    <row r="23" spans="3:11" ht="12">
      <c r="C23">
        <f>(1-NORMSDIST(C10))*2</f>
        <v>0.5333538568423166</v>
      </c>
      <c r="G23">
        <f>(1-NORMSDIST(ABS(G10)))*2</f>
        <v>0.5206611585701564</v>
      </c>
      <c r="K23">
        <f>(1-NORMSDIST(ABS(K10)))*2</f>
        <v>0.26206195399984633</v>
      </c>
    </row>
    <row r="24" spans="3:11" ht="12">
      <c r="C24">
        <f>(1-NORMSDIST(C11))*2</f>
        <v>0.09862673370050357</v>
      </c>
      <c r="G24">
        <f>(1-NORMSDIST(ABS(G11)))*2</f>
        <v>0.18488828765457987</v>
      </c>
      <c r="K24">
        <f>(1-NORMSDIST(ABS(K11)))*2</f>
        <v>0.1832680855864952</v>
      </c>
    </row>
    <row r="25" spans="3:11" ht="12">
      <c r="C25">
        <f>(1-NORMSDIST(ABS(C12)))*2</f>
        <v>0.7225850067338979</v>
      </c>
      <c r="G25">
        <f>(1-NORMSDIST(ABS(G12)))*2</f>
        <v>0.607802313976213</v>
      </c>
      <c r="K25">
        <f>(1-NORMSDIST(ABS(K12)))*2</f>
        <v>0.0755698527037556</v>
      </c>
    </row>
    <row r="26" spans="7:11" ht="12">
      <c r="G26">
        <f>(1-NORMSDIST(ABS(G13)))*2</f>
        <v>0.036889967108854727</v>
      </c>
      <c r="K26">
        <f>(1-NORMSDIST(ABS(K13)))*2</f>
        <v>0.11669516886750109</v>
      </c>
    </row>
    <row r="55" ht="12">
      <c r="A55" t="s">
        <v>1710</v>
      </c>
    </row>
    <row r="56" ht="12">
      <c r="A56" t="s">
        <v>1703</v>
      </c>
    </row>
    <row r="57" ht="12">
      <c r="A57" t="s">
        <v>510</v>
      </c>
    </row>
    <row r="58" ht="12">
      <c r="A58" t="s">
        <v>511</v>
      </c>
    </row>
    <row r="59" ht="12">
      <c r="A59" t="s">
        <v>512</v>
      </c>
    </row>
    <row r="60" ht="12">
      <c r="A60" t="s">
        <v>1712</v>
      </c>
    </row>
    <row r="61" ht="12">
      <c r="A61" t="s">
        <v>1706</v>
      </c>
    </row>
    <row r="62" ht="12">
      <c r="A62" t="s">
        <v>513</v>
      </c>
    </row>
    <row r="63" ht="12">
      <c r="A63" t="s">
        <v>514</v>
      </c>
    </row>
    <row r="64" ht="12">
      <c r="A64" t="s">
        <v>515</v>
      </c>
    </row>
    <row r="65" ht="12">
      <c r="A65" t="s">
        <v>516</v>
      </c>
    </row>
    <row r="66" ht="12">
      <c r="A66" t="s">
        <v>517</v>
      </c>
    </row>
    <row r="67" ht="12">
      <c r="A67" t="s">
        <v>518</v>
      </c>
    </row>
    <row r="68" ht="12">
      <c r="A68" t="s">
        <v>519</v>
      </c>
    </row>
    <row r="69" ht="12">
      <c r="A69" t="s">
        <v>520</v>
      </c>
    </row>
    <row r="70" ht="12">
      <c r="A70" t="s">
        <v>521</v>
      </c>
    </row>
    <row r="71" ht="12">
      <c r="A71" t="s">
        <v>522</v>
      </c>
    </row>
    <row r="72" ht="12">
      <c r="A72" t="s">
        <v>523</v>
      </c>
    </row>
    <row r="73" ht="12">
      <c r="A73" t="s">
        <v>524</v>
      </c>
    </row>
    <row r="74" ht="12">
      <c r="A74" t="s">
        <v>525</v>
      </c>
    </row>
    <row r="75" ht="12">
      <c r="A75" t="s">
        <v>526</v>
      </c>
    </row>
    <row r="76" ht="12">
      <c r="A76" t="s">
        <v>1706</v>
      </c>
    </row>
    <row r="77" ht="12">
      <c r="A77" t="s">
        <v>1719</v>
      </c>
    </row>
    <row r="78" ht="12">
      <c r="A78" t="s">
        <v>527</v>
      </c>
    </row>
    <row r="79" ht="12">
      <c r="A79" t="s">
        <v>528</v>
      </c>
    </row>
    <row r="80" ht="12">
      <c r="A80" t="s">
        <v>529</v>
      </c>
    </row>
    <row r="81" ht="12">
      <c r="A81" t="s">
        <v>530</v>
      </c>
    </row>
    <row r="82" ht="12">
      <c r="A82" t="s">
        <v>66</v>
      </c>
    </row>
    <row r="83" ht="12">
      <c r="A83" t="s">
        <v>67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21"/>
  <dimension ref="A1:S73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12.125" style="0" customWidth="1"/>
    <col min="16" max="16" width="15.00390625" style="0" customWidth="1"/>
    <col min="17" max="17" width="11.875" style="0" customWidth="1"/>
    <col min="18" max="18" width="11.00390625" style="0" customWidth="1"/>
    <col min="19" max="19" width="13.00390625" style="0" customWidth="1"/>
  </cols>
  <sheetData>
    <row r="1" spans="1:4" ht="12">
      <c r="A1" t="s">
        <v>1698</v>
      </c>
      <c r="B1">
        <v>2</v>
      </c>
      <c r="C1" t="s">
        <v>1699</v>
      </c>
      <c r="D1">
        <v>6</v>
      </c>
    </row>
    <row r="2" spans="1:2" ht="12">
      <c r="A2" t="s">
        <v>1700</v>
      </c>
      <c r="B2">
        <v>1</v>
      </c>
    </row>
    <row r="3" spans="1:2" ht="12">
      <c r="A3" t="s">
        <v>1701</v>
      </c>
      <c r="B3">
        <v>9</v>
      </c>
    </row>
    <row r="4" spans="7:11" ht="12">
      <c r="G4">
        <f>F8/G8</f>
        <v>0.0005456189770889882</v>
      </c>
      <c r="I4">
        <f>H8/I8</f>
        <v>0.0005822467573807744</v>
      </c>
      <c r="K4">
        <f>J8/K8</f>
        <v>0.00028356829865116884</v>
      </c>
    </row>
    <row r="5" ht="12">
      <c r="A5" t="s">
        <v>531</v>
      </c>
    </row>
    <row r="6" spans="1:10" ht="12">
      <c r="A6" t="s">
        <v>145</v>
      </c>
      <c r="B6" t="s">
        <v>1367</v>
      </c>
      <c r="F6" t="s">
        <v>1368</v>
      </c>
      <c r="J6" t="s">
        <v>1530</v>
      </c>
    </row>
    <row r="7" spans="2:19" ht="18" customHeight="1">
      <c r="B7" s="14" t="s">
        <v>668</v>
      </c>
      <c r="C7" s="14" t="s">
        <v>1524</v>
      </c>
      <c r="D7" s="14" t="s">
        <v>669</v>
      </c>
      <c r="E7" s="14" t="s">
        <v>1524</v>
      </c>
      <c r="F7" s="14" t="s">
        <v>1264</v>
      </c>
      <c r="G7" s="14" t="s">
        <v>1524</v>
      </c>
      <c r="H7" s="14" t="s">
        <v>1265</v>
      </c>
      <c r="I7" s="14" t="s">
        <v>1524</v>
      </c>
      <c r="J7" s="14" t="s">
        <v>1365</v>
      </c>
      <c r="K7" s="14" t="s">
        <v>1524</v>
      </c>
      <c r="L7" s="14" t="s">
        <v>1366</v>
      </c>
      <c r="M7" s="14" t="s">
        <v>1524</v>
      </c>
      <c r="Q7" s="62"/>
      <c r="R7" s="62"/>
      <c r="S7" s="62"/>
    </row>
    <row r="8" spans="1:17" ht="12">
      <c r="A8" t="s">
        <v>1667</v>
      </c>
      <c r="B8" s="27">
        <f aca="true" t="shared" si="0" ref="B8:M8">B18</f>
        <v>-0.01618431</v>
      </c>
      <c r="C8" s="27">
        <f t="shared" si="0"/>
        <v>-6.3630981</v>
      </c>
      <c r="D8" s="27">
        <f t="shared" si="0"/>
        <v>-0.00876995</v>
      </c>
      <c r="E8" s="27">
        <f t="shared" si="0"/>
        <v>-3.2497586</v>
      </c>
      <c r="F8" s="27">
        <f t="shared" si="0"/>
        <v>-0.00891332</v>
      </c>
      <c r="G8" s="27">
        <f t="shared" si="0"/>
        <v>-16.336162</v>
      </c>
      <c r="H8" s="27">
        <f t="shared" si="0"/>
        <v>-0.00764026</v>
      </c>
      <c r="I8" s="27">
        <f t="shared" si="0"/>
        <v>-13.122031</v>
      </c>
      <c r="J8" s="27">
        <f t="shared" si="0"/>
        <v>-0.00143271</v>
      </c>
      <c r="K8" s="27">
        <f t="shared" si="0"/>
        <v>-5.0524336</v>
      </c>
      <c r="L8" s="27">
        <f t="shared" si="0"/>
        <v>-0.00087135</v>
      </c>
      <c r="M8" s="27">
        <f t="shared" si="0"/>
        <v>-2.8708935</v>
      </c>
      <c r="N8" s="17">
        <v>4</v>
      </c>
      <c r="P8" s="49"/>
      <c r="Q8" s="42"/>
    </row>
    <row r="9" spans="1:13" ht="12">
      <c r="A9" t="s">
        <v>1369</v>
      </c>
      <c r="M9" s="21"/>
    </row>
    <row r="10" spans="1:19" ht="12">
      <c r="A10" t="s">
        <v>146</v>
      </c>
      <c r="B10" t="s">
        <v>1381</v>
      </c>
      <c r="C10" s="21"/>
      <c r="D10" s="21" t="s">
        <v>1381</v>
      </c>
      <c r="E10" s="21"/>
      <c r="F10" t="s">
        <v>1381</v>
      </c>
      <c r="G10" s="21"/>
      <c r="H10" s="21" t="s">
        <v>1381</v>
      </c>
      <c r="I10" s="21"/>
      <c r="J10" t="s">
        <v>1381</v>
      </c>
      <c r="K10" s="21"/>
      <c r="L10" s="21" t="s">
        <v>1381</v>
      </c>
      <c r="M10" s="21"/>
      <c r="Q10" s="51"/>
      <c r="R10" s="51"/>
      <c r="S10" s="51"/>
    </row>
    <row r="11" spans="1:19" ht="12">
      <c r="A11" t="s">
        <v>1370</v>
      </c>
      <c r="B11" t="s">
        <v>666</v>
      </c>
      <c r="C11" s="21"/>
      <c r="D11" s="21" t="s">
        <v>1381</v>
      </c>
      <c r="E11" s="21"/>
      <c r="F11" t="s">
        <v>666</v>
      </c>
      <c r="G11" s="21"/>
      <c r="H11" s="21" t="s">
        <v>1381</v>
      </c>
      <c r="I11" s="21"/>
      <c r="J11" t="s">
        <v>666</v>
      </c>
      <c r="K11" s="21"/>
      <c r="L11" s="21" t="s">
        <v>1381</v>
      </c>
      <c r="M11" s="21"/>
      <c r="Q11" s="51"/>
      <c r="R11" s="51"/>
      <c r="S11" s="51"/>
    </row>
    <row r="12" spans="1:19" ht="12">
      <c r="A12" t="s">
        <v>1371</v>
      </c>
      <c r="B12" s="21">
        <f>B24</f>
        <v>0.15337983</v>
      </c>
      <c r="C12" s="21"/>
      <c r="D12" s="21">
        <f>D24</f>
        <v>0.17788333</v>
      </c>
      <c r="E12" s="21"/>
      <c r="F12" s="21">
        <f>F24</f>
        <v>0.06384798</v>
      </c>
      <c r="G12" s="21"/>
      <c r="H12" s="21">
        <f>H24</f>
        <v>0.08300531</v>
      </c>
      <c r="I12" s="21"/>
      <c r="J12" s="21">
        <f>J24</f>
        <v>0.01029146</v>
      </c>
      <c r="K12" s="21"/>
      <c r="L12" s="21">
        <f>L24</f>
        <v>0.02615361</v>
      </c>
      <c r="Q12" s="52"/>
      <c r="R12" s="52"/>
      <c r="S12" s="52"/>
    </row>
    <row r="13" spans="1:14" ht="12">
      <c r="A13" t="s">
        <v>1375</v>
      </c>
      <c r="B13" s="21">
        <f aca="true" t="shared" si="1" ref="B13:H13">B25</f>
        <v>8490</v>
      </c>
      <c r="C13" s="21">
        <f t="shared" si="1"/>
        <v>0</v>
      </c>
      <c r="D13" s="21">
        <f t="shared" si="1"/>
        <v>8490</v>
      </c>
      <c r="E13" s="21">
        <f t="shared" si="1"/>
        <v>0</v>
      </c>
      <c r="F13" s="21">
        <f t="shared" si="1"/>
        <v>8368</v>
      </c>
      <c r="G13" s="21">
        <f t="shared" si="1"/>
        <v>0</v>
      </c>
      <c r="H13" s="21">
        <f t="shared" si="1"/>
        <v>8368</v>
      </c>
      <c r="I13" s="21">
        <f>K27</f>
        <v>0</v>
      </c>
      <c r="J13" s="21">
        <f>J25</f>
        <v>8472</v>
      </c>
      <c r="K13" s="21">
        <f aca="true" t="shared" si="2" ref="J13:M14">D36</f>
        <v>0</v>
      </c>
      <c r="L13" s="21">
        <f>L25</f>
        <v>8472</v>
      </c>
      <c r="M13" s="21">
        <f t="shared" si="2"/>
        <v>0</v>
      </c>
      <c r="N13" s="21"/>
    </row>
    <row r="14" spans="1:14" ht="12">
      <c r="A14" t="s">
        <v>1376</v>
      </c>
      <c r="B14" s="21">
        <f aca="true" t="shared" si="3" ref="B14:H14">B26</f>
        <v>4951</v>
      </c>
      <c r="C14" s="21">
        <f t="shared" si="3"/>
        <v>0</v>
      </c>
      <c r="D14" s="21">
        <f t="shared" si="3"/>
        <v>4951</v>
      </c>
      <c r="E14" s="21">
        <f t="shared" si="3"/>
        <v>0</v>
      </c>
      <c r="F14" s="21">
        <f t="shared" si="3"/>
        <v>4909</v>
      </c>
      <c r="G14" s="21">
        <f t="shared" si="3"/>
        <v>0</v>
      </c>
      <c r="H14" s="21">
        <f t="shared" si="3"/>
        <v>4909</v>
      </c>
      <c r="I14" s="21">
        <f>K28</f>
        <v>0</v>
      </c>
      <c r="J14" s="21">
        <f>J26</f>
        <v>4949</v>
      </c>
      <c r="K14" s="21">
        <f t="shared" si="2"/>
        <v>0</v>
      </c>
      <c r="L14" s="21">
        <f>L26</f>
        <v>4949</v>
      </c>
      <c r="M14" s="21">
        <f t="shared" si="2"/>
        <v>0</v>
      </c>
      <c r="N14" s="21"/>
    </row>
    <row r="15" spans="1:9" ht="12">
      <c r="A15" s="19"/>
      <c r="B15" s="17"/>
      <c r="C15" s="17"/>
      <c r="D15" s="17">
        <v>0.026</v>
      </c>
      <c r="E15" s="17"/>
      <c r="F15" s="17">
        <v>0.027</v>
      </c>
      <c r="G15" s="17"/>
      <c r="H15" s="17"/>
      <c r="I15" s="17"/>
    </row>
    <row r="16" spans="1:9" ht="12">
      <c r="A16" s="19"/>
      <c r="B16" s="17"/>
      <c r="C16" s="17"/>
      <c r="D16" s="7"/>
      <c r="E16" s="7"/>
      <c r="F16" s="7"/>
      <c r="G16" s="17"/>
      <c r="H16" s="17"/>
      <c r="I16" s="17"/>
    </row>
    <row r="17" spans="1:13" ht="12">
      <c r="A17" s="19"/>
      <c r="B17" s="17" t="s">
        <v>1154</v>
      </c>
      <c r="C17" s="17" t="s">
        <v>1155</v>
      </c>
      <c r="D17" s="17" t="s">
        <v>1156</v>
      </c>
      <c r="E17" s="17" t="s">
        <v>1157</v>
      </c>
      <c r="F17" s="17" t="s">
        <v>1377</v>
      </c>
      <c r="G17" s="17" t="s">
        <v>1378</v>
      </c>
      <c r="H17" s="17" t="s">
        <v>1379</v>
      </c>
      <c r="I17" s="17" t="s">
        <v>1380</v>
      </c>
      <c r="J17" t="s">
        <v>1517</v>
      </c>
      <c r="K17" t="s">
        <v>1518</v>
      </c>
      <c r="L17" t="s">
        <v>1519</v>
      </c>
      <c r="M17" t="s">
        <v>1520</v>
      </c>
    </row>
    <row r="18" spans="1:13" ht="12">
      <c r="A18" s="19" t="s">
        <v>1158</v>
      </c>
      <c r="B18" s="17">
        <v>-0.01618431</v>
      </c>
      <c r="C18" s="17">
        <v>-6.3630981</v>
      </c>
      <c r="D18" s="17">
        <v>-0.00876995</v>
      </c>
      <c r="E18" s="17">
        <v>-3.2497586</v>
      </c>
      <c r="F18" s="17">
        <v>-0.00891332</v>
      </c>
      <c r="G18" s="17">
        <v>-16.336162</v>
      </c>
      <c r="H18" s="17">
        <v>-0.00764026</v>
      </c>
      <c r="I18" s="17">
        <v>-13.122031</v>
      </c>
      <c r="J18">
        <v>-0.00143271</v>
      </c>
      <c r="K18">
        <v>-5.0524336</v>
      </c>
      <c r="L18">
        <v>-0.00087135</v>
      </c>
      <c r="M18">
        <v>-2.8708935</v>
      </c>
    </row>
    <row r="19" spans="1:13" ht="12">
      <c r="A19" s="19" t="s">
        <v>1159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>
        <v>0</v>
      </c>
      <c r="K19">
        <v>0</v>
      </c>
      <c r="L19">
        <v>0</v>
      </c>
      <c r="M19">
        <v>0</v>
      </c>
    </row>
    <row r="20" spans="1:13" ht="12">
      <c r="A20" s="19" t="s">
        <v>1160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>
        <v>0</v>
      </c>
      <c r="K20">
        <v>0</v>
      </c>
      <c r="L20">
        <v>0</v>
      </c>
      <c r="M20">
        <v>0</v>
      </c>
    </row>
    <row r="21" spans="1:13" ht="12">
      <c r="A21" s="19" t="s">
        <v>1161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>
        <v>0</v>
      </c>
      <c r="K21">
        <v>0</v>
      </c>
      <c r="L21">
        <v>0</v>
      </c>
      <c r="M21">
        <v>0</v>
      </c>
    </row>
    <row r="22" spans="1:13" ht="12">
      <c r="A22" t="s">
        <v>1162</v>
      </c>
      <c r="B22">
        <v>0.05266623</v>
      </c>
      <c r="C22">
        <v>0</v>
      </c>
      <c r="D22">
        <v>0.05216066</v>
      </c>
      <c r="E22">
        <v>0</v>
      </c>
      <c r="F22">
        <v>0.00398598</v>
      </c>
      <c r="G22">
        <v>0</v>
      </c>
      <c r="H22">
        <v>0.00402362</v>
      </c>
      <c r="I22">
        <v>0</v>
      </c>
      <c r="J22">
        <v>0.0002803</v>
      </c>
      <c r="K22">
        <v>0</v>
      </c>
      <c r="L22">
        <v>0.00050488</v>
      </c>
      <c r="M22">
        <v>0</v>
      </c>
    </row>
    <row r="23" spans="1:13" ht="12">
      <c r="A23" t="s">
        <v>1163</v>
      </c>
      <c r="B23">
        <v>0.15272725</v>
      </c>
      <c r="C23">
        <v>0</v>
      </c>
      <c r="D23">
        <v>0.18109785</v>
      </c>
      <c r="E23">
        <v>0</v>
      </c>
      <c r="F23">
        <v>0.06844915</v>
      </c>
      <c r="G23">
        <v>0</v>
      </c>
      <c r="H23">
        <v>0.0917088</v>
      </c>
      <c r="I23">
        <v>0</v>
      </c>
      <c r="J23">
        <v>0.00971759</v>
      </c>
      <c r="K23">
        <v>0</v>
      </c>
      <c r="L23">
        <v>0.02913373</v>
      </c>
      <c r="M23">
        <v>0</v>
      </c>
    </row>
    <row r="24" spans="1:13" ht="12">
      <c r="A24" t="s">
        <v>1164</v>
      </c>
      <c r="B24">
        <v>0.15337983</v>
      </c>
      <c r="C24">
        <v>0</v>
      </c>
      <c r="D24">
        <v>0.17788333</v>
      </c>
      <c r="E24">
        <v>0</v>
      </c>
      <c r="F24">
        <v>0.06384798</v>
      </c>
      <c r="G24">
        <v>0</v>
      </c>
      <c r="H24">
        <v>0.08300531</v>
      </c>
      <c r="I24">
        <v>0</v>
      </c>
      <c r="J24">
        <v>0.01029146</v>
      </c>
      <c r="K24">
        <v>0</v>
      </c>
      <c r="L24">
        <v>0.02615361</v>
      </c>
      <c r="M24">
        <v>0</v>
      </c>
    </row>
    <row r="25" spans="1:13" ht="12">
      <c r="A25" t="s">
        <v>1165</v>
      </c>
      <c r="B25">
        <v>8490</v>
      </c>
      <c r="C25">
        <v>0</v>
      </c>
      <c r="D25">
        <v>8490</v>
      </c>
      <c r="E25">
        <v>0</v>
      </c>
      <c r="F25">
        <v>8368</v>
      </c>
      <c r="G25">
        <v>0</v>
      </c>
      <c r="H25">
        <v>8368</v>
      </c>
      <c r="I25">
        <v>0</v>
      </c>
      <c r="J25">
        <v>8472</v>
      </c>
      <c r="K25">
        <v>0</v>
      </c>
      <c r="L25">
        <v>8472</v>
      </c>
      <c r="M25">
        <v>0</v>
      </c>
    </row>
    <row r="26" spans="1:13" ht="12">
      <c r="A26" t="s">
        <v>1166</v>
      </c>
      <c r="B26">
        <v>4951</v>
      </c>
      <c r="C26">
        <v>0</v>
      </c>
      <c r="D26">
        <v>4951</v>
      </c>
      <c r="E26">
        <v>0</v>
      </c>
      <c r="F26">
        <v>4909</v>
      </c>
      <c r="G26">
        <v>0</v>
      </c>
      <c r="H26">
        <v>4909</v>
      </c>
      <c r="I26">
        <v>0</v>
      </c>
      <c r="J26">
        <v>4949</v>
      </c>
      <c r="K26">
        <v>0</v>
      </c>
      <c r="L26">
        <v>4949</v>
      </c>
      <c r="M26">
        <v>0</v>
      </c>
    </row>
    <row r="28" ht="12">
      <c r="B28" t="s">
        <v>1520</v>
      </c>
    </row>
    <row r="29" spans="1:2" ht="12">
      <c r="A29" t="s">
        <v>1158</v>
      </c>
      <c r="B29">
        <v>-2.915705</v>
      </c>
    </row>
    <row r="30" spans="1:2" ht="12">
      <c r="A30" t="s">
        <v>1159</v>
      </c>
      <c r="B30">
        <v>0</v>
      </c>
    </row>
    <row r="31" spans="1:2" ht="12">
      <c r="A31" t="s">
        <v>1160</v>
      </c>
      <c r="B31">
        <v>0</v>
      </c>
    </row>
    <row r="32" spans="1:2" ht="12">
      <c r="A32" t="s">
        <v>1161</v>
      </c>
      <c r="B32">
        <v>0</v>
      </c>
    </row>
    <row r="33" spans="1:2" ht="12">
      <c r="A33" t="s">
        <v>1162</v>
      </c>
      <c r="B33">
        <v>0</v>
      </c>
    </row>
    <row r="34" spans="1:2" ht="12">
      <c r="A34" t="s">
        <v>1163</v>
      </c>
      <c r="B34">
        <v>0</v>
      </c>
    </row>
    <row r="35" spans="1:2" ht="12">
      <c r="A35" t="s">
        <v>1164</v>
      </c>
      <c r="B35">
        <v>0</v>
      </c>
    </row>
    <row r="36" spans="1:2" ht="12">
      <c r="A36" t="s">
        <v>1165</v>
      </c>
      <c r="B36">
        <v>0</v>
      </c>
    </row>
    <row r="37" spans="1:2" ht="12">
      <c r="A37" t="s">
        <v>1166</v>
      </c>
      <c r="B37">
        <v>0</v>
      </c>
    </row>
    <row r="55" ht="12">
      <c r="A55" t="s">
        <v>1710</v>
      </c>
    </row>
    <row r="56" ht="12">
      <c r="A56" t="s">
        <v>1703</v>
      </c>
    </row>
    <row r="57" ht="12">
      <c r="A57" t="s">
        <v>23</v>
      </c>
    </row>
    <row r="58" ht="12">
      <c r="A58" t="s">
        <v>1712</v>
      </c>
    </row>
    <row r="59" ht="12">
      <c r="A59" t="s">
        <v>1706</v>
      </c>
    </row>
    <row r="60" ht="12">
      <c r="A60" t="s">
        <v>532</v>
      </c>
    </row>
    <row r="61" ht="12">
      <c r="A61" t="s">
        <v>533</v>
      </c>
    </row>
    <row r="62" ht="12">
      <c r="A62" t="s">
        <v>1706</v>
      </c>
    </row>
    <row r="63" ht="12">
      <c r="A63" t="s">
        <v>1719</v>
      </c>
    </row>
    <row r="64" ht="12">
      <c r="A64" t="s">
        <v>24</v>
      </c>
    </row>
    <row r="65" ht="12">
      <c r="A65" t="s">
        <v>25</v>
      </c>
    </row>
    <row r="66" ht="12">
      <c r="A66" t="s">
        <v>534</v>
      </c>
    </row>
    <row r="67" ht="12">
      <c r="A67" t="s">
        <v>535</v>
      </c>
    </row>
    <row r="68" ht="12">
      <c r="A68" t="s">
        <v>536</v>
      </c>
    </row>
    <row r="69" ht="12">
      <c r="A69" t="s">
        <v>537</v>
      </c>
    </row>
    <row r="70" ht="12">
      <c r="A70" t="s">
        <v>538</v>
      </c>
    </row>
    <row r="71" ht="12">
      <c r="A71" t="s">
        <v>539</v>
      </c>
    </row>
    <row r="72" ht="12">
      <c r="A72" t="s">
        <v>66</v>
      </c>
    </row>
    <row r="73" ht="12">
      <c r="A73" t="s">
        <v>67</v>
      </c>
    </row>
  </sheetData>
  <mergeCells count="1">
    <mergeCell ref="Q7:S7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8"/>
  <dimension ref="A1:K82"/>
  <sheetViews>
    <sheetView workbookViewId="0" topLeftCell="A1">
      <selection activeCell="A1" sqref="A1:D4"/>
    </sheetView>
  </sheetViews>
  <sheetFormatPr defaultColWidth="9.00390625" defaultRowHeight="12.75"/>
  <cols>
    <col min="1" max="1" width="22.125" style="0" customWidth="1"/>
  </cols>
  <sheetData>
    <row r="1" spans="1:4" ht="12">
      <c r="A1" t="s">
        <v>1698</v>
      </c>
      <c r="B1">
        <v>3</v>
      </c>
      <c r="C1" t="s">
        <v>1699</v>
      </c>
      <c r="D1">
        <v>4</v>
      </c>
    </row>
    <row r="2" spans="1:2" ht="12">
      <c r="A2" t="s">
        <v>1700</v>
      </c>
      <c r="B2">
        <v>7</v>
      </c>
    </row>
    <row r="3" spans="1:2" ht="12">
      <c r="A3" t="s">
        <v>1701</v>
      </c>
      <c r="B3">
        <v>5</v>
      </c>
    </row>
    <row r="5" ht="12">
      <c r="A5" t="s">
        <v>980</v>
      </c>
    </row>
    <row r="6" ht="12">
      <c r="A6" t="s">
        <v>1525</v>
      </c>
    </row>
    <row r="7" spans="2:6" ht="12">
      <c r="B7" t="s">
        <v>1621</v>
      </c>
      <c r="F7" t="s">
        <v>314</v>
      </c>
    </row>
    <row r="8" spans="2:11" ht="12">
      <c r="B8" s="14" t="s">
        <v>668</v>
      </c>
      <c r="C8" s="14" t="s">
        <v>1524</v>
      </c>
      <c r="D8" s="14" t="s">
        <v>669</v>
      </c>
      <c r="E8" s="14" t="s">
        <v>1524</v>
      </c>
      <c r="F8" s="14" t="s">
        <v>1265</v>
      </c>
      <c r="G8" s="14" t="s">
        <v>1524</v>
      </c>
      <c r="H8" s="14" t="s">
        <v>1365</v>
      </c>
      <c r="I8" s="14" t="s">
        <v>1524</v>
      </c>
      <c r="J8" s="14"/>
      <c r="K8" s="14"/>
    </row>
    <row r="9" spans="1:9" ht="12">
      <c r="A9" s="19" t="s">
        <v>317</v>
      </c>
      <c r="B9">
        <f>B23</f>
        <v>-0.02314051</v>
      </c>
      <c r="C9">
        <f aca="true" t="shared" si="0" ref="C9:I9">C23</f>
        <v>-0.67383685</v>
      </c>
      <c r="D9">
        <f t="shared" si="0"/>
        <v>0.0308484</v>
      </c>
      <c r="E9">
        <f t="shared" si="0"/>
        <v>0.62289431</v>
      </c>
      <c r="F9">
        <f t="shared" si="0"/>
        <v>0.12068194</v>
      </c>
      <c r="G9">
        <f t="shared" si="0"/>
        <v>2.1171214</v>
      </c>
      <c r="H9">
        <f t="shared" si="0"/>
        <v>0.02964056</v>
      </c>
      <c r="I9">
        <f t="shared" si="0"/>
        <v>0.37940283</v>
      </c>
    </row>
    <row r="10" spans="1:9" ht="12">
      <c r="A10" s="19" t="s">
        <v>319</v>
      </c>
      <c r="B10">
        <f aca="true" t="shared" si="1" ref="B10:I15">B24</f>
        <v>0.07646963</v>
      </c>
      <c r="C10">
        <f t="shared" si="1"/>
        <v>1.9726011</v>
      </c>
      <c r="D10">
        <f t="shared" si="1"/>
        <v>0.06543737</v>
      </c>
      <c r="E10">
        <f t="shared" si="1"/>
        <v>1.6515478</v>
      </c>
      <c r="F10">
        <f t="shared" si="1"/>
        <v>0.01709749</v>
      </c>
      <c r="G10">
        <f t="shared" si="1"/>
        <v>0.35487942</v>
      </c>
      <c r="H10">
        <f t="shared" si="1"/>
        <v>0.01499724</v>
      </c>
      <c r="I10">
        <f t="shared" si="1"/>
        <v>0.29453608</v>
      </c>
    </row>
    <row r="11" spans="1:9" ht="12">
      <c r="A11" s="19" t="s">
        <v>326</v>
      </c>
      <c r="B11">
        <f t="shared" si="1"/>
        <v>0.01416676</v>
      </c>
      <c r="C11">
        <f t="shared" si="1"/>
        <v>0.27429155</v>
      </c>
      <c r="D11">
        <f t="shared" si="1"/>
        <v>0.01893097</v>
      </c>
      <c r="E11">
        <f t="shared" si="1"/>
        <v>0.35500628</v>
      </c>
      <c r="F11">
        <f t="shared" si="1"/>
        <v>-0.09823938</v>
      </c>
      <c r="G11">
        <f t="shared" si="1"/>
        <v>-1.7002181</v>
      </c>
      <c r="H11">
        <f t="shared" si="1"/>
        <v>-0.13772998</v>
      </c>
      <c r="I11">
        <f t="shared" si="1"/>
        <v>-1.9951301</v>
      </c>
    </row>
    <row r="12" spans="1:9" ht="12">
      <c r="A12" s="19" t="s">
        <v>1516</v>
      </c>
      <c r="B12">
        <f t="shared" si="1"/>
        <v>-0.01787444</v>
      </c>
      <c r="C12">
        <f t="shared" si="1"/>
        <v>-0.52294079</v>
      </c>
      <c r="D12">
        <f t="shared" si="1"/>
        <v>-0.01215099</v>
      </c>
      <c r="E12">
        <f t="shared" si="1"/>
        <v>-0.34823588</v>
      </c>
      <c r="F12">
        <f t="shared" si="1"/>
        <v>-0.08668464</v>
      </c>
      <c r="G12">
        <f t="shared" si="1"/>
        <v>-1.5308961</v>
      </c>
      <c r="H12">
        <f t="shared" si="1"/>
        <v>-0.10362545</v>
      </c>
      <c r="I12">
        <f t="shared" si="1"/>
        <v>-1.7399045</v>
      </c>
    </row>
    <row r="13" spans="1:9" ht="12">
      <c r="A13" s="19" t="s">
        <v>968</v>
      </c>
      <c r="B13">
        <f t="shared" si="1"/>
        <v>0.03764159</v>
      </c>
      <c r="C13">
        <f t="shared" si="1"/>
        <v>0.682316</v>
      </c>
      <c r="D13">
        <f t="shared" si="1"/>
        <v>0.06228808</v>
      </c>
      <c r="E13">
        <f t="shared" si="1"/>
        <v>1.080634</v>
      </c>
      <c r="F13">
        <f t="shared" si="1"/>
        <v>0.02114228</v>
      </c>
      <c r="G13">
        <f t="shared" si="1"/>
        <v>0.37730969</v>
      </c>
      <c r="H13">
        <f t="shared" si="1"/>
        <v>-0.01535399</v>
      </c>
      <c r="I13">
        <f t="shared" si="1"/>
        <v>-0.24300415</v>
      </c>
    </row>
    <row r="14" spans="1:9" ht="12">
      <c r="A14" s="19" t="s">
        <v>329</v>
      </c>
      <c r="B14">
        <f t="shared" si="1"/>
        <v>-0.05871734</v>
      </c>
      <c r="C14">
        <f t="shared" si="1"/>
        <v>-1.4426953</v>
      </c>
      <c r="D14">
        <f t="shared" si="1"/>
        <v>-0.06810395</v>
      </c>
      <c r="E14">
        <f t="shared" si="1"/>
        <v>-1.5907544</v>
      </c>
      <c r="F14">
        <f t="shared" si="1"/>
        <v>-0.02694419</v>
      </c>
      <c r="G14">
        <f t="shared" si="1"/>
        <v>-0.47134955</v>
      </c>
      <c r="H14">
        <f t="shared" si="1"/>
        <v>-0.03996598</v>
      </c>
      <c r="I14">
        <f t="shared" si="1"/>
        <v>-0.60788447</v>
      </c>
    </row>
    <row r="15" spans="1:9" ht="12">
      <c r="A15" s="19" t="s">
        <v>978</v>
      </c>
      <c r="B15">
        <f t="shared" si="1"/>
        <v>-0.12322493</v>
      </c>
      <c r="C15">
        <f t="shared" si="1"/>
        <v>-3.3381237</v>
      </c>
      <c r="D15">
        <f t="shared" si="1"/>
        <v>-0.09130401</v>
      </c>
      <c r="E15">
        <f t="shared" si="1"/>
        <v>-2.2769046</v>
      </c>
      <c r="F15">
        <f t="shared" si="1"/>
        <v>-0.1915677</v>
      </c>
      <c r="G15">
        <f t="shared" si="1"/>
        <v>-2.2543705</v>
      </c>
      <c r="H15">
        <f t="shared" si="1"/>
        <v>-0.172331</v>
      </c>
      <c r="I15">
        <f t="shared" si="1"/>
        <v>-1.865762</v>
      </c>
    </row>
    <row r="16" ht="12">
      <c r="A16" t="s">
        <v>1369</v>
      </c>
    </row>
    <row r="17" spans="1:8" ht="12">
      <c r="A17" s="19" t="s">
        <v>979</v>
      </c>
      <c r="B17" t="str">
        <f>IF(B31=1,"Y","N")</f>
        <v>N</v>
      </c>
      <c r="D17" t="str">
        <f>IF(D31=1,"Y","N")</f>
        <v>Y</v>
      </c>
      <c r="F17" t="str">
        <f>IF(F31=1,"Y","N")</f>
        <v>N</v>
      </c>
      <c r="H17" t="str">
        <f>IF(H31=1,"Y","N")</f>
        <v>Y</v>
      </c>
    </row>
    <row r="18" spans="1:8" ht="12">
      <c r="A18" t="s">
        <v>1371</v>
      </c>
      <c r="B18">
        <f>B32</f>
        <v>0.10757599</v>
      </c>
      <c r="D18">
        <f>D32</f>
        <v>0.13179383</v>
      </c>
      <c r="F18">
        <f>F32</f>
        <v>0.13139541</v>
      </c>
      <c r="H18">
        <f>H32</f>
        <v>0.17402411</v>
      </c>
    </row>
    <row r="19" spans="1:8" ht="12">
      <c r="A19" t="s">
        <v>1375</v>
      </c>
      <c r="B19">
        <f>B33</f>
        <v>295</v>
      </c>
      <c r="D19">
        <f>D33</f>
        <v>295</v>
      </c>
      <c r="F19">
        <f>F33</f>
        <v>80</v>
      </c>
      <c r="H19">
        <f>H33</f>
        <v>80</v>
      </c>
    </row>
    <row r="20" spans="1:8" ht="12">
      <c r="A20" t="s">
        <v>1376</v>
      </c>
      <c r="B20">
        <f>B34</f>
        <v>165</v>
      </c>
      <c r="D20">
        <f>D34</f>
        <v>165</v>
      </c>
      <c r="F20">
        <f>F34</f>
        <v>47</v>
      </c>
      <c r="H20">
        <f>H34</f>
        <v>47</v>
      </c>
    </row>
    <row r="22" spans="2:9" ht="12">
      <c r="B22" t="s">
        <v>1154</v>
      </c>
      <c r="C22" t="s">
        <v>1155</v>
      </c>
      <c r="D22" t="s">
        <v>1156</v>
      </c>
      <c r="E22" t="s">
        <v>1157</v>
      </c>
      <c r="F22" t="s">
        <v>1379</v>
      </c>
      <c r="G22" t="s">
        <v>1380</v>
      </c>
      <c r="H22" t="s">
        <v>1517</v>
      </c>
      <c r="I22" t="s">
        <v>1518</v>
      </c>
    </row>
    <row r="23" spans="1:9" ht="12">
      <c r="A23" t="s">
        <v>1158</v>
      </c>
      <c r="B23">
        <v>-0.02314051</v>
      </c>
      <c r="C23">
        <v>-0.67383685</v>
      </c>
      <c r="D23">
        <v>0.0308484</v>
      </c>
      <c r="E23">
        <v>0.62289431</v>
      </c>
      <c r="F23">
        <v>0.12068194</v>
      </c>
      <c r="G23">
        <v>2.1171214</v>
      </c>
      <c r="H23">
        <v>0.02964056</v>
      </c>
      <c r="I23">
        <v>0.37940283</v>
      </c>
    </row>
    <row r="24" spans="1:9" ht="12">
      <c r="A24" t="s">
        <v>1159</v>
      </c>
      <c r="B24">
        <v>0.07646963</v>
      </c>
      <c r="C24">
        <v>1.9726011</v>
      </c>
      <c r="D24">
        <v>0.06543737</v>
      </c>
      <c r="E24">
        <v>1.6515478</v>
      </c>
      <c r="F24">
        <v>0.01709749</v>
      </c>
      <c r="G24">
        <v>0.35487942</v>
      </c>
      <c r="H24">
        <v>0.01499724</v>
      </c>
      <c r="I24">
        <v>0.29453608</v>
      </c>
    </row>
    <row r="25" spans="1:9" ht="12">
      <c r="A25" t="s">
        <v>1160</v>
      </c>
      <c r="B25">
        <v>0.01416676</v>
      </c>
      <c r="C25">
        <v>0.27429155</v>
      </c>
      <c r="D25">
        <v>0.01893097</v>
      </c>
      <c r="E25">
        <v>0.35500628</v>
      </c>
      <c r="F25">
        <v>-0.09823938</v>
      </c>
      <c r="G25">
        <v>-1.7002181</v>
      </c>
      <c r="H25">
        <v>-0.13772998</v>
      </c>
      <c r="I25">
        <v>-1.9951301</v>
      </c>
    </row>
    <row r="26" spans="1:9" ht="12">
      <c r="A26" t="s">
        <v>1161</v>
      </c>
      <c r="B26">
        <v>-0.01787444</v>
      </c>
      <c r="C26">
        <v>-0.52294079</v>
      </c>
      <c r="D26">
        <v>-0.01215099</v>
      </c>
      <c r="E26">
        <v>-0.34823588</v>
      </c>
      <c r="F26">
        <v>-0.08668464</v>
      </c>
      <c r="G26">
        <v>-1.5308961</v>
      </c>
      <c r="H26">
        <v>-0.10362545</v>
      </c>
      <c r="I26">
        <v>-1.7399045</v>
      </c>
    </row>
    <row r="27" spans="1:9" ht="12">
      <c r="A27" t="s">
        <v>1162</v>
      </c>
      <c r="B27">
        <v>0.03764159</v>
      </c>
      <c r="C27">
        <v>0.682316</v>
      </c>
      <c r="D27">
        <v>0.06228808</v>
      </c>
      <c r="E27">
        <v>1.080634</v>
      </c>
      <c r="F27">
        <v>0.02114228</v>
      </c>
      <c r="G27">
        <v>0.37730969</v>
      </c>
      <c r="H27">
        <v>-0.01535399</v>
      </c>
      <c r="I27">
        <v>-0.24300415</v>
      </c>
    </row>
    <row r="28" spans="1:9" ht="12">
      <c r="A28" t="s">
        <v>1163</v>
      </c>
      <c r="B28">
        <v>-0.05871734</v>
      </c>
      <c r="C28">
        <v>-1.4426953</v>
      </c>
      <c r="D28">
        <v>-0.06810395</v>
      </c>
      <c r="E28">
        <v>-1.5907544</v>
      </c>
      <c r="F28">
        <v>-0.02694419</v>
      </c>
      <c r="G28">
        <v>-0.47134955</v>
      </c>
      <c r="H28">
        <v>-0.03996598</v>
      </c>
      <c r="I28">
        <v>-0.60788447</v>
      </c>
    </row>
    <row r="29" spans="1:9" ht="12">
      <c r="A29" t="s">
        <v>1164</v>
      </c>
      <c r="B29">
        <v>-0.12322493</v>
      </c>
      <c r="C29">
        <v>-3.3381237</v>
      </c>
      <c r="D29">
        <v>-0.09130401</v>
      </c>
      <c r="E29">
        <v>-2.2769046</v>
      </c>
      <c r="F29">
        <v>-0.1915677</v>
      </c>
      <c r="G29">
        <v>-2.2543705</v>
      </c>
      <c r="H29">
        <v>-0.172331</v>
      </c>
      <c r="I29">
        <v>-1.865762</v>
      </c>
    </row>
    <row r="30" spans="1:9" ht="12">
      <c r="A30" t="s">
        <v>1165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ht="12">
      <c r="A31" t="s">
        <v>1166</v>
      </c>
      <c r="B31">
        <v>0</v>
      </c>
      <c r="C31">
        <v>0</v>
      </c>
      <c r="D31">
        <v>1</v>
      </c>
      <c r="E31">
        <v>0</v>
      </c>
      <c r="F31">
        <v>0</v>
      </c>
      <c r="G31">
        <v>0</v>
      </c>
      <c r="H31">
        <v>1</v>
      </c>
      <c r="I31">
        <v>0</v>
      </c>
    </row>
    <row r="32" spans="1:9" ht="12">
      <c r="A32" t="s">
        <v>1167</v>
      </c>
      <c r="B32">
        <v>0.10757599</v>
      </c>
      <c r="C32">
        <v>0</v>
      </c>
      <c r="D32">
        <v>0.13179383</v>
      </c>
      <c r="E32">
        <v>0</v>
      </c>
      <c r="F32">
        <v>0.13139541</v>
      </c>
      <c r="G32">
        <v>0</v>
      </c>
      <c r="H32">
        <v>0.17402411</v>
      </c>
      <c r="I32">
        <v>0</v>
      </c>
    </row>
    <row r="33" spans="1:9" ht="12">
      <c r="A33" t="s">
        <v>1168</v>
      </c>
      <c r="B33">
        <v>295</v>
      </c>
      <c r="C33">
        <v>0</v>
      </c>
      <c r="D33">
        <v>295</v>
      </c>
      <c r="E33">
        <v>0</v>
      </c>
      <c r="F33">
        <v>80</v>
      </c>
      <c r="G33">
        <v>0</v>
      </c>
      <c r="H33">
        <v>80</v>
      </c>
      <c r="I33">
        <v>0</v>
      </c>
    </row>
    <row r="34" spans="1:9" ht="12">
      <c r="A34" t="s">
        <v>1169</v>
      </c>
      <c r="B34">
        <v>165</v>
      </c>
      <c r="C34">
        <v>0</v>
      </c>
      <c r="D34">
        <v>165</v>
      </c>
      <c r="E34">
        <v>0</v>
      </c>
      <c r="F34">
        <v>47</v>
      </c>
      <c r="G34">
        <v>0</v>
      </c>
      <c r="H34">
        <v>47</v>
      </c>
      <c r="I34">
        <v>0</v>
      </c>
    </row>
    <row r="52" ht="12">
      <c r="A52" t="s">
        <v>1710</v>
      </c>
    </row>
    <row r="53" ht="12">
      <c r="A53" t="s">
        <v>1703</v>
      </c>
    </row>
    <row r="54" ht="12">
      <c r="A54" t="s">
        <v>1</v>
      </c>
    </row>
    <row r="55" ht="12">
      <c r="A55" t="s">
        <v>2</v>
      </c>
    </row>
    <row r="56" ht="12">
      <c r="A56" t="s">
        <v>1712</v>
      </c>
    </row>
    <row r="57" ht="12">
      <c r="A57" t="s">
        <v>1706</v>
      </c>
    </row>
    <row r="58" ht="12">
      <c r="A58" t="s">
        <v>3</v>
      </c>
    </row>
    <row r="59" ht="12">
      <c r="A59" t="s">
        <v>4</v>
      </c>
    </row>
    <row r="60" ht="12">
      <c r="A60" t="s">
        <v>5</v>
      </c>
    </row>
    <row r="61" ht="12">
      <c r="A61" t="s">
        <v>6</v>
      </c>
    </row>
    <row r="62" ht="12">
      <c r="A62" t="s">
        <v>7</v>
      </c>
    </row>
    <row r="63" ht="12">
      <c r="A63" t="s">
        <v>8</v>
      </c>
    </row>
    <row r="64" ht="12">
      <c r="A64" t="s">
        <v>9</v>
      </c>
    </row>
    <row r="65" ht="12">
      <c r="A65" t="s">
        <v>10</v>
      </c>
    </row>
    <row r="66" ht="12">
      <c r="A66" t="s">
        <v>11</v>
      </c>
    </row>
    <row r="67" ht="12">
      <c r="A67" t="s">
        <v>12</v>
      </c>
    </row>
    <row r="68" ht="12">
      <c r="A68" t="s">
        <v>13</v>
      </c>
    </row>
    <row r="69" ht="12">
      <c r="A69" t="s">
        <v>14</v>
      </c>
    </row>
    <row r="70" ht="12">
      <c r="A70" t="s">
        <v>15</v>
      </c>
    </row>
    <row r="71" ht="12">
      <c r="A71" t="s">
        <v>16</v>
      </c>
    </row>
    <row r="72" ht="12">
      <c r="A72" t="s">
        <v>1706</v>
      </c>
    </row>
    <row r="73" ht="12">
      <c r="A73" t="s">
        <v>1719</v>
      </c>
    </row>
    <row r="74" ht="12">
      <c r="A74" t="s">
        <v>17</v>
      </c>
    </row>
    <row r="75" ht="12">
      <c r="A75" t="s">
        <v>1722</v>
      </c>
    </row>
    <row r="76" ht="12">
      <c r="A76" t="s">
        <v>18</v>
      </c>
    </row>
    <row r="77" ht="12">
      <c r="A77" t="s">
        <v>19</v>
      </c>
    </row>
    <row r="78" ht="12">
      <c r="A78" t="s">
        <v>20</v>
      </c>
    </row>
    <row r="79" ht="12">
      <c r="A79" t="s">
        <v>21</v>
      </c>
    </row>
    <row r="80" ht="12">
      <c r="A80" t="s">
        <v>22</v>
      </c>
    </row>
    <row r="81" ht="12">
      <c r="A81" t="s">
        <v>66</v>
      </c>
    </row>
    <row r="82" ht="12">
      <c r="A82" t="s">
        <v>67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9"/>
  <dimension ref="A1:K82"/>
  <sheetViews>
    <sheetView workbookViewId="0" topLeftCell="B1">
      <selection activeCell="D9" sqref="D9"/>
    </sheetView>
  </sheetViews>
  <sheetFormatPr defaultColWidth="9.00390625" defaultRowHeight="12.75"/>
  <cols>
    <col min="1" max="1" width="22.125" style="0" customWidth="1"/>
  </cols>
  <sheetData>
    <row r="1" spans="1:4" ht="12">
      <c r="A1" t="s">
        <v>1698</v>
      </c>
      <c r="B1">
        <v>3</v>
      </c>
      <c r="C1" t="s">
        <v>1699</v>
      </c>
      <c r="D1">
        <v>4</v>
      </c>
    </row>
    <row r="2" spans="1:2" ht="12">
      <c r="A2" t="s">
        <v>1700</v>
      </c>
      <c r="B2">
        <v>7</v>
      </c>
    </row>
    <row r="3" spans="1:2" ht="12">
      <c r="A3" t="s">
        <v>1701</v>
      </c>
      <c r="B3">
        <v>5</v>
      </c>
    </row>
    <row r="5" ht="12">
      <c r="A5" t="s">
        <v>980</v>
      </c>
    </row>
    <row r="6" ht="12">
      <c r="A6" t="s">
        <v>1526</v>
      </c>
    </row>
    <row r="7" spans="2:6" ht="12">
      <c r="B7" t="s">
        <v>1621</v>
      </c>
      <c r="F7" t="s">
        <v>314</v>
      </c>
    </row>
    <row r="8" spans="2:11" ht="12">
      <c r="B8" s="14" t="s">
        <v>668</v>
      </c>
      <c r="C8" s="14" t="s">
        <v>1524</v>
      </c>
      <c r="D8" s="14" t="s">
        <v>669</v>
      </c>
      <c r="E8" s="14" t="s">
        <v>1524</v>
      </c>
      <c r="F8" s="14" t="s">
        <v>1265</v>
      </c>
      <c r="G8" s="14" t="s">
        <v>1524</v>
      </c>
      <c r="H8" s="14" t="s">
        <v>1365</v>
      </c>
      <c r="I8" s="14" t="s">
        <v>1524</v>
      </c>
      <c r="J8" s="14"/>
      <c r="K8" s="14"/>
    </row>
    <row r="9" spans="1:9" ht="12">
      <c r="A9" s="19" t="s">
        <v>317</v>
      </c>
      <c r="B9">
        <f>B23</f>
        <v>-0.00591773</v>
      </c>
      <c r="C9">
        <f aca="true" t="shared" si="0" ref="C9:I9">C23</f>
        <v>-1.6447022</v>
      </c>
      <c r="D9">
        <f t="shared" si="0"/>
        <v>-0.00330238</v>
      </c>
      <c r="E9">
        <f t="shared" si="0"/>
        <v>-0.64232638</v>
      </c>
      <c r="F9">
        <f t="shared" si="0"/>
        <v>0.00465022</v>
      </c>
      <c r="G9">
        <f t="shared" si="0"/>
        <v>1.1119952</v>
      </c>
      <c r="H9">
        <f t="shared" si="0"/>
        <v>0.00100042</v>
      </c>
      <c r="I9">
        <f t="shared" si="0"/>
        <v>0.16335799</v>
      </c>
    </row>
    <row r="10" spans="1:9" ht="12">
      <c r="A10" s="19" t="s">
        <v>319</v>
      </c>
      <c r="B10">
        <f aca="true" t="shared" si="1" ref="B10:I15">B24</f>
        <v>0.00524636</v>
      </c>
      <c r="C10">
        <f t="shared" si="1"/>
        <v>1.3659051</v>
      </c>
      <c r="D10">
        <f t="shared" si="1"/>
        <v>0.00527023</v>
      </c>
      <c r="E10">
        <f t="shared" si="1"/>
        <v>1.3258537</v>
      </c>
      <c r="F10">
        <f t="shared" si="1"/>
        <v>1.965E-05</v>
      </c>
      <c r="G10">
        <f t="shared" si="1"/>
        <v>0.0054807</v>
      </c>
      <c r="H10">
        <f t="shared" si="1"/>
        <v>-0.00063584</v>
      </c>
      <c r="I10">
        <f t="shared" si="1"/>
        <v>-0.16198329</v>
      </c>
    </row>
    <row r="11" spans="1:9" ht="12">
      <c r="A11" s="19" t="s">
        <v>326</v>
      </c>
      <c r="B11">
        <f t="shared" si="1"/>
        <v>-0.00407964</v>
      </c>
      <c r="C11">
        <f t="shared" si="1"/>
        <v>-0.74369509</v>
      </c>
      <c r="D11">
        <f t="shared" si="1"/>
        <v>-0.00293488</v>
      </c>
      <c r="E11">
        <f t="shared" si="1"/>
        <v>-0.51321299</v>
      </c>
      <c r="F11">
        <f t="shared" si="1"/>
        <v>0.00159593</v>
      </c>
      <c r="G11">
        <f t="shared" si="1"/>
        <v>0.35592821</v>
      </c>
      <c r="H11">
        <f t="shared" si="1"/>
        <v>-0.00017305</v>
      </c>
      <c r="I11">
        <f t="shared" si="1"/>
        <v>-0.03214445</v>
      </c>
    </row>
    <row r="12" spans="1:9" ht="12">
      <c r="A12" s="19" t="s">
        <v>1516</v>
      </c>
      <c r="B12">
        <f t="shared" si="1"/>
        <v>-0.00801337</v>
      </c>
      <c r="C12">
        <f t="shared" si="1"/>
        <v>-2.2968416</v>
      </c>
      <c r="D12">
        <f t="shared" si="1"/>
        <v>-0.0075471</v>
      </c>
      <c r="E12">
        <f t="shared" si="1"/>
        <v>-2.0869783</v>
      </c>
      <c r="F12">
        <f t="shared" si="1"/>
        <v>-0.01028135</v>
      </c>
      <c r="G12">
        <f t="shared" si="1"/>
        <v>-2.3485738</v>
      </c>
      <c r="H12">
        <f t="shared" si="1"/>
        <v>-0.00960702</v>
      </c>
      <c r="I12">
        <f t="shared" si="1"/>
        <v>-2.0496514</v>
      </c>
    </row>
    <row r="13" spans="1:9" ht="12">
      <c r="A13" s="19" t="s">
        <v>968</v>
      </c>
      <c r="B13">
        <f t="shared" si="1"/>
        <v>0.00235347</v>
      </c>
      <c r="C13">
        <f t="shared" si="1"/>
        <v>0.40312406</v>
      </c>
      <c r="D13">
        <f t="shared" si="1"/>
        <v>0.00388666</v>
      </c>
      <c r="E13">
        <f t="shared" si="1"/>
        <v>0.63125809</v>
      </c>
      <c r="F13">
        <f t="shared" si="1"/>
        <v>3.598E-05</v>
      </c>
      <c r="G13">
        <f t="shared" si="1"/>
        <v>0.00829537</v>
      </c>
      <c r="H13">
        <f t="shared" si="1"/>
        <v>-0.0020108</v>
      </c>
      <c r="I13">
        <f t="shared" si="1"/>
        <v>-0.39598742</v>
      </c>
    </row>
    <row r="14" spans="1:9" ht="12">
      <c r="A14" s="19" t="s">
        <v>329</v>
      </c>
      <c r="B14">
        <f t="shared" si="1"/>
        <v>0.00575687</v>
      </c>
      <c r="C14">
        <f t="shared" si="1"/>
        <v>1.3640343</v>
      </c>
      <c r="D14">
        <f t="shared" si="1"/>
        <v>0.00566029</v>
      </c>
      <c r="E14">
        <f t="shared" si="1"/>
        <v>1.2646463</v>
      </c>
      <c r="F14">
        <f t="shared" si="1"/>
        <v>-0.00042199</v>
      </c>
      <c r="G14">
        <f t="shared" si="1"/>
        <v>-0.09225869</v>
      </c>
      <c r="H14">
        <f t="shared" si="1"/>
        <v>-0.00241875</v>
      </c>
      <c r="I14">
        <f t="shared" si="1"/>
        <v>-0.43712279</v>
      </c>
    </row>
    <row r="15" spans="1:9" ht="12">
      <c r="A15" s="19" t="s">
        <v>978</v>
      </c>
      <c r="B15">
        <f t="shared" si="1"/>
        <v>-0.01642541</v>
      </c>
      <c r="C15">
        <f t="shared" si="1"/>
        <v>-4.4428498</v>
      </c>
      <c r="D15">
        <f t="shared" si="1"/>
        <v>-0.01488684</v>
      </c>
      <c r="E15">
        <f t="shared" si="1"/>
        <v>-3.7408083</v>
      </c>
      <c r="F15">
        <f t="shared" si="1"/>
        <v>-0.05419896</v>
      </c>
      <c r="G15">
        <f t="shared" si="1"/>
        <v>-8.2108665</v>
      </c>
      <c r="H15">
        <f t="shared" si="1"/>
        <v>-0.05489246</v>
      </c>
      <c r="I15">
        <f t="shared" si="1"/>
        <v>-7.5877142</v>
      </c>
    </row>
    <row r="16" ht="12">
      <c r="A16" t="s">
        <v>1369</v>
      </c>
    </row>
    <row r="17" spans="1:8" ht="12">
      <c r="A17" s="19" t="s">
        <v>979</v>
      </c>
      <c r="B17" t="str">
        <f>IF(B31=1,"Y","N")</f>
        <v>N</v>
      </c>
      <c r="D17" t="str">
        <f>IF(D31=1,"Y","N")</f>
        <v>Y</v>
      </c>
      <c r="F17" t="str">
        <f>IF(F31=1,"Y","N")</f>
        <v>N</v>
      </c>
      <c r="H17" t="str">
        <f>IF(H31=1,"Y","N")</f>
        <v>Y</v>
      </c>
    </row>
    <row r="18" spans="1:8" ht="12">
      <c r="A18" t="s">
        <v>1371</v>
      </c>
      <c r="B18">
        <f>B32</f>
        <v>0.15742023</v>
      </c>
      <c r="D18">
        <f>D32</f>
        <v>0.16438035</v>
      </c>
      <c r="F18">
        <f>F32</f>
        <v>0.4632604</v>
      </c>
      <c r="H18">
        <f>H32</f>
        <v>0.48456928</v>
      </c>
    </row>
    <row r="19" spans="1:8" ht="12">
      <c r="A19" t="s">
        <v>1375</v>
      </c>
      <c r="B19">
        <f>B33</f>
        <v>328</v>
      </c>
      <c r="D19">
        <f>D33</f>
        <v>328</v>
      </c>
      <c r="F19">
        <f>F33</f>
        <v>88</v>
      </c>
      <c r="H19">
        <f>H33</f>
        <v>88</v>
      </c>
    </row>
    <row r="20" spans="1:8" ht="12">
      <c r="A20" t="s">
        <v>1376</v>
      </c>
      <c r="B20">
        <f>B34</f>
        <v>176</v>
      </c>
      <c r="D20">
        <f>D34</f>
        <v>176</v>
      </c>
      <c r="F20">
        <f>F34</f>
        <v>49</v>
      </c>
      <c r="H20">
        <f>H34</f>
        <v>49</v>
      </c>
    </row>
    <row r="22" spans="2:9" ht="12">
      <c r="B22" t="s">
        <v>1154</v>
      </c>
      <c r="C22" t="s">
        <v>1155</v>
      </c>
      <c r="D22" t="s">
        <v>1156</v>
      </c>
      <c r="E22" t="s">
        <v>1157</v>
      </c>
      <c r="F22" t="s">
        <v>1377</v>
      </c>
      <c r="G22" t="s">
        <v>1378</v>
      </c>
      <c r="H22" t="s">
        <v>1379</v>
      </c>
      <c r="I22" t="s">
        <v>1380</v>
      </c>
    </row>
    <row r="23" spans="1:9" ht="12">
      <c r="A23" t="s">
        <v>1158</v>
      </c>
      <c r="B23">
        <v>-0.00591773</v>
      </c>
      <c r="C23">
        <v>-1.6447022</v>
      </c>
      <c r="D23">
        <v>-0.00330238</v>
      </c>
      <c r="E23">
        <v>-0.64232638</v>
      </c>
      <c r="F23">
        <v>0.00465022</v>
      </c>
      <c r="G23">
        <v>1.1119952</v>
      </c>
      <c r="H23">
        <v>0.00100042</v>
      </c>
      <c r="I23">
        <v>0.16335799</v>
      </c>
    </row>
    <row r="24" spans="1:9" ht="12">
      <c r="A24" t="s">
        <v>1159</v>
      </c>
      <c r="B24">
        <v>0.00524636</v>
      </c>
      <c r="C24">
        <v>1.3659051</v>
      </c>
      <c r="D24">
        <v>0.00527023</v>
      </c>
      <c r="E24">
        <v>1.3258537</v>
      </c>
      <c r="F24">
        <v>1.965E-05</v>
      </c>
      <c r="G24">
        <v>0.0054807</v>
      </c>
      <c r="H24">
        <v>-0.00063584</v>
      </c>
      <c r="I24">
        <v>-0.16198329</v>
      </c>
    </row>
    <row r="25" spans="1:9" ht="12">
      <c r="A25" t="s">
        <v>1160</v>
      </c>
      <c r="B25">
        <v>-0.00407964</v>
      </c>
      <c r="C25">
        <v>-0.74369509</v>
      </c>
      <c r="D25">
        <v>-0.00293488</v>
      </c>
      <c r="E25">
        <v>-0.51321299</v>
      </c>
      <c r="F25">
        <v>0.00159593</v>
      </c>
      <c r="G25">
        <v>0.35592821</v>
      </c>
      <c r="H25">
        <v>-0.00017305</v>
      </c>
      <c r="I25">
        <v>-0.03214445</v>
      </c>
    </row>
    <row r="26" spans="1:9" ht="12">
      <c r="A26" t="s">
        <v>1161</v>
      </c>
      <c r="B26">
        <v>-0.00801337</v>
      </c>
      <c r="C26">
        <v>-2.2968416</v>
      </c>
      <c r="D26">
        <v>-0.0075471</v>
      </c>
      <c r="E26">
        <v>-2.0869783</v>
      </c>
      <c r="F26">
        <v>-0.01028135</v>
      </c>
      <c r="G26">
        <v>-2.3485738</v>
      </c>
      <c r="H26">
        <v>-0.00960702</v>
      </c>
      <c r="I26">
        <v>-2.0496514</v>
      </c>
    </row>
    <row r="27" spans="1:9" ht="12">
      <c r="A27" t="s">
        <v>1162</v>
      </c>
      <c r="B27">
        <v>0.00235347</v>
      </c>
      <c r="C27">
        <v>0.40312406</v>
      </c>
      <c r="D27">
        <v>0.00388666</v>
      </c>
      <c r="E27">
        <v>0.63125809</v>
      </c>
      <c r="F27">
        <v>3.598E-05</v>
      </c>
      <c r="G27">
        <v>0.00829537</v>
      </c>
      <c r="H27">
        <v>-0.0020108</v>
      </c>
      <c r="I27">
        <v>-0.39598742</v>
      </c>
    </row>
    <row r="28" spans="1:9" ht="12">
      <c r="A28" t="s">
        <v>1163</v>
      </c>
      <c r="B28">
        <v>0.00575687</v>
      </c>
      <c r="C28">
        <v>1.3640343</v>
      </c>
      <c r="D28">
        <v>0.00566029</v>
      </c>
      <c r="E28">
        <v>1.2646463</v>
      </c>
      <c r="F28">
        <v>-0.00042199</v>
      </c>
      <c r="G28">
        <v>-0.09225869</v>
      </c>
      <c r="H28">
        <v>-0.00241875</v>
      </c>
      <c r="I28">
        <v>-0.43712279</v>
      </c>
    </row>
    <row r="29" spans="1:9" ht="12">
      <c r="A29" t="s">
        <v>1164</v>
      </c>
      <c r="B29">
        <v>-0.01642541</v>
      </c>
      <c r="C29">
        <v>-4.4428498</v>
      </c>
      <c r="D29">
        <v>-0.01488684</v>
      </c>
      <c r="E29">
        <v>-3.7408083</v>
      </c>
      <c r="F29">
        <v>-0.05419896</v>
      </c>
      <c r="G29">
        <v>-8.2108665</v>
      </c>
      <c r="H29">
        <v>-0.05489246</v>
      </c>
      <c r="I29">
        <v>-7.5877142</v>
      </c>
    </row>
    <row r="30" spans="1:9" ht="12">
      <c r="A30" t="s">
        <v>1165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ht="12">
      <c r="A31" t="s">
        <v>1166</v>
      </c>
      <c r="B31">
        <v>0</v>
      </c>
      <c r="C31">
        <v>0</v>
      </c>
      <c r="D31">
        <v>1</v>
      </c>
      <c r="E31">
        <v>0</v>
      </c>
      <c r="F31">
        <v>0</v>
      </c>
      <c r="G31">
        <v>0</v>
      </c>
      <c r="H31">
        <v>1</v>
      </c>
      <c r="I31">
        <v>0</v>
      </c>
    </row>
    <row r="32" spans="1:9" ht="12">
      <c r="A32" t="s">
        <v>1167</v>
      </c>
      <c r="B32">
        <v>0.15742023</v>
      </c>
      <c r="C32">
        <v>0</v>
      </c>
      <c r="D32">
        <v>0.16438035</v>
      </c>
      <c r="E32">
        <v>0</v>
      </c>
      <c r="F32">
        <v>0.4632604</v>
      </c>
      <c r="G32">
        <v>0</v>
      </c>
      <c r="H32">
        <v>0.48456928</v>
      </c>
      <c r="I32">
        <v>0</v>
      </c>
    </row>
    <row r="33" spans="1:9" ht="12">
      <c r="A33" t="s">
        <v>1168</v>
      </c>
      <c r="B33">
        <v>328</v>
      </c>
      <c r="C33">
        <v>0</v>
      </c>
      <c r="D33">
        <v>328</v>
      </c>
      <c r="E33">
        <v>0</v>
      </c>
      <c r="F33">
        <v>88</v>
      </c>
      <c r="G33">
        <v>0</v>
      </c>
      <c r="H33">
        <v>88</v>
      </c>
      <c r="I33">
        <v>0</v>
      </c>
    </row>
    <row r="34" spans="1:9" ht="12">
      <c r="A34" t="s">
        <v>1169</v>
      </c>
      <c r="B34">
        <v>176</v>
      </c>
      <c r="C34">
        <v>0</v>
      </c>
      <c r="D34">
        <v>176</v>
      </c>
      <c r="E34">
        <v>0</v>
      </c>
      <c r="F34">
        <v>49</v>
      </c>
      <c r="G34">
        <v>0</v>
      </c>
      <c r="H34">
        <v>49</v>
      </c>
      <c r="I34">
        <v>0</v>
      </c>
    </row>
    <row r="52" ht="12">
      <c r="A52" t="s">
        <v>1710</v>
      </c>
    </row>
    <row r="53" ht="12">
      <c r="A53" t="s">
        <v>1703</v>
      </c>
    </row>
    <row r="54" ht="12">
      <c r="A54" t="s">
        <v>1</v>
      </c>
    </row>
    <row r="55" ht="12">
      <c r="A55" t="s">
        <v>2</v>
      </c>
    </row>
    <row r="56" ht="12">
      <c r="A56" t="s">
        <v>1712</v>
      </c>
    </row>
    <row r="57" ht="12">
      <c r="A57" t="s">
        <v>1706</v>
      </c>
    </row>
    <row r="58" ht="12">
      <c r="A58" t="s">
        <v>3</v>
      </c>
    </row>
    <row r="59" ht="12">
      <c r="A59" t="s">
        <v>4</v>
      </c>
    </row>
    <row r="60" ht="12">
      <c r="A60" t="s">
        <v>5</v>
      </c>
    </row>
    <row r="61" ht="12">
      <c r="A61" t="s">
        <v>6</v>
      </c>
    </row>
    <row r="62" ht="12">
      <c r="A62" t="s">
        <v>7</v>
      </c>
    </row>
    <row r="63" ht="12">
      <c r="A63" t="s">
        <v>8</v>
      </c>
    </row>
    <row r="64" ht="12">
      <c r="A64" t="s">
        <v>9</v>
      </c>
    </row>
    <row r="65" ht="12">
      <c r="A65" t="s">
        <v>10</v>
      </c>
    </row>
    <row r="66" ht="12">
      <c r="A66" t="s">
        <v>11</v>
      </c>
    </row>
    <row r="67" ht="12">
      <c r="A67" t="s">
        <v>12</v>
      </c>
    </row>
    <row r="68" ht="12">
      <c r="A68" t="s">
        <v>13</v>
      </c>
    </row>
    <row r="69" ht="12">
      <c r="A69" t="s">
        <v>14</v>
      </c>
    </row>
    <row r="70" ht="12">
      <c r="A70" t="s">
        <v>15</v>
      </c>
    </row>
    <row r="71" ht="12">
      <c r="A71" t="s">
        <v>16</v>
      </c>
    </row>
    <row r="72" ht="12">
      <c r="A72" t="s">
        <v>1706</v>
      </c>
    </row>
    <row r="73" ht="12">
      <c r="A73" t="s">
        <v>1719</v>
      </c>
    </row>
    <row r="74" ht="12">
      <c r="A74" t="s">
        <v>17</v>
      </c>
    </row>
    <row r="75" ht="12">
      <c r="A75" t="s">
        <v>1722</v>
      </c>
    </row>
    <row r="76" ht="12">
      <c r="A76" t="s">
        <v>18</v>
      </c>
    </row>
    <row r="77" ht="12">
      <c r="A77" t="s">
        <v>19</v>
      </c>
    </row>
    <row r="78" ht="12">
      <c r="A78" t="s">
        <v>20</v>
      </c>
    </row>
    <row r="79" ht="12">
      <c r="A79" t="s">
        <v>21</v>
      </c>
    </row>
    <row r="80" ht="12">
      <c r="A80" t="s">
        <v>22</v>
      </c>
    </row>
    <row r="81" ht="12">
      <c r="A81" t="s">
        <v>66</v>
      </c>
    </row>
    <row r="82" ht="12">
      <c r="A82" t="s">
        <v>67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20"/>
  <dimension ref="A1:K82"/>
  <sheetViews>
    <sheetView workbookViewId="0" topLeftCell="A1">
      <selection activeCell="E21" sqref="E21"/>
    </sheetView>
  </sheetViews>
  <sheetFormatPr defaultColWidth="9.00390625" defaultRowHeight="12.75"/>
  <cols>
    <col min="1" max="1" width="22.125" style="0" customWidth="1"/>
  </cols>
  <sheetData>
    <row r="1" spans="1:4" ht="12">
      <c r="A1" t="s">
        <v>1698</v>
      </c>
      <c r="B1">
        <v>3</v>
      </c>
      <c r="C1" t="s">
        <v>1699</v>
      </c>
      <c r="D1">
        <v>4</v>
      </c>
    </row>
    <row r="2" spans="1:2" ht="12">
      <c r="A2" t="s">
        <v>1700</v>
      </c>
      <c r="B2">
        <v>7</v>
      </c>
    </row>
    <row r="3" spans="1:2" ht="12">
      <c r="A3" t="s">
        <v>1701</v>
      </c>
      <c r="B3">
        <v>5</v>
      </c>
    </row>
    <row r="5" ht="12">
      <c r="A5" t="s">
        <v>980</v>
      </c>
    </row>
    <row r="6" ht="12">
      <c r="A6" t="s">
        <v>1622</v>
      </c>
    </row>
    <row r="7" spans="2:6" ht="12">
      <c r="B7" t="s">
        <v>1621</v>
      </c>
      <c r="F7" t="s">
        <v>314</v>
      </c>
    </row>
    <row r="8" spans="2:11" ht="12">
      <c r="B8" s="14" t="s">
        <v>668</v>
      </c>
      <c r="C8" s="14" t="s">
        <v>1524</v>
      </c>
      <c r="D8" s="14" t="s">
        <v>669</v>
      </c>
      <c r="E8" s="14" t="s">
        <v>1524</v>
      </c>
      <c r="F8" s="14" t="s">
        <v>1265</v>
      </c>
      <c r="G8" s="14" t="s">
        <v>1524</v>
      </c>
      <c r="H8" s="14" t="s">
        <v>1365</v>
      </c>
      <c r="I8" s="14" t="s">
        <v>1524</v>
      </c>
      <c r="J8" s="14"/>
      <c r="K8" s="14"/>
    </row>
    <row r="9" spans="1:9" ht="12">
      <c r="A9" s="19" t="s">
        <v>317</v>
      </c>
      <c r="B9">
        <f>B23</f>
        <v>-0.012685</v>
      </c>
      <c r="C9">
        <f>C23</f>
        <v>-1.8391949</v>
      </c>
      <c r="D9">
        <f>D23</f>
        <v>-0.01051179</v>
      </c>
      <c r="E9">
        <f>E23</f>
        <v>-1.1215311</v>
      </c>
      <c r="F9">
        <f>F23</f>
        <v>0.00451748</v>
      </c>
      <c r="G9">
        <f>G23</f>
        <v>1.3071047</v>
      </c>
      <c r="H9">
        <f>H23</f>
        <v>0.00569645</v>
      </c>
      <c r="I9">
        <f>I23</f>
        <v>1.1508076</v>
      </c>
    </row>
    <row r="10" spans="1:9" ht="12">
      <c r="A10" s="19" t="s">
        <v>319</v>
      </c>
      <c r="B10">
        <f>B24</f>
        <v>0.00989961</v>
      </c>
      <c r="C10">
        <f>C24</f>
        <v>1.4101172</v>
      </c>
      <c r="D10">
        <f>D24</f>
        <v>0.0095167</v>
      </c>
      <c r="E10">
        <f>E24</f>
        <v>1.3307601</v>
      </c>
      <c r="F10">
        <f>F24</f>
        <v>0.00367111</v>
      </c>
      <c r="G10">
        <f>G24</f>
        <v>1.1703565</v>
      </c>
      <c r="H10">
        <f>H24</f>
        <v>0.00399445</v>
      </c>
      <c r="I10">
        <f>I24</f>
        <v>1.18794</v>
      </c>
    </row>
    <row r="11" spans="1:9" ht="12">
      <c r="A11" s="19" t="s">
        <v>326</v>
      </c>
      <c r="B11">
        <f>B25</f>
        <v>0.01396991</v>
      </c>
      <c r="C11">
        <f>C25</f>
        <v>1.2968546</v>
      </c>
      <c r="D11">
        <f>D25</f>
        <v>0.01975114</v>
      </c>
      <c r="E11">
        <f>E25</f>
        <v>1.7769896</v>
      </c>
      <c r="F11">
        <f>F25</f>
        <v>0.00710985</v>
      </c>
      <c r="G11">
        <f>G25</f>
        <v>1.9090315</v>
      </c>
      <c r="H11">
        <f>H25</f>
        <v>0.00382237</v>
      </c>
      <c r="I11">
        <f>I25</f>
        <v>0.85407943</v>
      </c>
    </row>
    <row r="12" spans="1:9" ht="12">
      <c r="A12" s="19" t="s">
        <v>1516</v>
      </c>
      <c r="B12">
        <f>B26</f>
        <v>-0.01053974</v>
      </c>
      <c r="C12">
        <f>C26</f>
        <v>-1.5923123</v>
      </c>
      <c r="D12">
        <f>D26</f>
        <v>-0.01061104</v>
      </c>
      <c r="E12">
        <f>E26</f>
        <v>-1.5687974</v>
      </c>
      <c r="F12">
        <f>F26</f>
        <v>0.00169802</v>
      </c>
      <c r="G12">
        <f>G26</f>
        <v>0.44659275</v>
      </c>
      <c r="H12">
        <f>H26</f>
        <v>0.00395597</v>
      </c>
      <c r="I12">
        <f>I26</f>
        <v>1.0023026</v>
      </c>
    </row>
    <row r="13" spans="1:9" ht="12">
      <c r="A13" s="19" t="s">
        <v>968</v>
      </c>
      <c r="B13">
        <f>B27</f>
        <v>0.00362598</v>
      </c>
      <c r="C13">
        <f>C27</f>
        <v>0.3007695</v>
      </c>
      <c r="D13">
        <f>D27</f>
        <v>0.01098561</v>
      </c>
      <c r="E13">
        <f>E27</f>
        <v>0.86708115</v>
      </c>
      <c r="F13">
        <f>F27</f>
        <v>-0.00052586</v>
      </c>
      <c r="G13">
        <f>G27</f>
        <v>-0.14798915</v>
      </c>
      <c r="H13">
        <f>H27</f>
        <v>-0.00414601</v>
      </c>
      <c r="I13">
        <f>I27</f>
        <v>-1.036192</v>
      </c>
    </row>
    <row r="14" spans="1:9" ht="12">
      <c r="A14" s="19" t="s">
        <v>329</v>
      </c>
      <c r="B14">
        <f aca="true" t="shared" si="0" ref="B14:I15">B28</f>
        <v>0.00371413</v>
      </c>
      <c r="C14">
        <f t="shared" si="0"/>
        <v>0.458885</v>
      </c>
      <c r="D14">
        <f t="shared" si="0"/>
        <v>0.00506682</v>
      </c>
      <c r="E14">
        <f t="shared" si="0"/>
        <v>0.59819977</v>
      </c>
      <c r="F14">
        <f t="shared" si="0"/>
        <v>-0.00377192</v>
      </c>
      <c r="G14">
        <f t="shared" si="0"/>
        <v>-1.0433304</v>
      </c>
      <c r="H14">
        <f t="shared" si="0"/>
        <v>-0.00783226</v>
      </c>
      <c r="I14">
        <f t="shared" si="0"/>
        <v>-1.9003258</v>
      </c>
    </row>
    <row r="15" spans="1:9" ht="12">
      <c r="A15" s="19" t="s">
        <v>978</v>
      </c>
      <c r="B15">
        <f aca="true" t="shared" si="1" ref="B15:I15">B29</f>
        <v>-0.02212625</v>
      </c>
      <c r="C15">
        <f t="shared" si="1"/>
        <v>-3.2087492</v>
      </c>
      <c r="D15">
        <f t="shared" si="1"/>
        <v>-0.01894993</v>
      </c>
      <c r="E15">
        <f t="shared" si="1"/>
        <v>-2.5950531</v>
      </c>
      <c r="F15">
        <f t="shared" si="1"/>
        <v>-0.02854883</v>
      </c>
      <c r="G15">
        <f t="shared" si="1"/>
        <v>-5.1852596</v>
      </c>
      <c r="H15">
        <f t="shared" si="1"/>
        <v>-0.02813723</v>
      </c>
      <c r="I15">
        <f t="shared" si="1"/>
        <v>-4.7390592</v>
      </c>
    </row>
    <row r="16" ht="12">
      <c r="A16" t="s">
        <v>1369</v>
      </c>
    </row>
    <row r="17" spans="1:8" ht="12">
      <c r="A17" s="19" t="s">
        <v>979</v>
      </c>
      <c r="B17" t="str">
        <f>IF(B31=1,"Y","N")</f>
        <v>N</v>
      </c>
      <c r="D17" t="str">
        <f>IF(D31=1,"Y","N")</f>
        <v>Y</v>
      </c>
      <c r="F17" t="str">
        <f>IF(F31=1,"Y","N")</f>
        <v>N</v>
      </c>
      <c r="H17" t="str">
        <f>IF(H31=1,"Y","N")</f>
        <v>Y</v>
      </c>
    </row>
    <row r="18" spans="1:8" ht="12">
      <c r="A18" t="s">
        <v>1371</v>
      </c>
      <c r="B18">
        <f>B32</f>
        <v>0.12626318</v>
      </c>
      <c r="D18">
        <f>D32</f>
        <v>0.15037481</v>
      </c>
      <c r="F18">
        <f>F32</f>
        <v>0.30834603</v>
      </c>
      <c r="H18">
        <f>H32</f>
        <v>0.3692326</v>
      </c>
    </row>
    <row r="19" spans="1:8" ht="12">
      <c r="A19" t="s">
        <v>1375</v>
      </c>
      <c r="B19">
        <f>B33</f>
        <v>317</v>
      </c>
      <c r="D19">
        <f>D33</f>
        <v>317</v>
      </c>
      <c r="F19">
        <f>F33</f>
        <v>88</v>
      </c>
      <c r="H19">
        <f>H33</f>
        <v>88</v>
      </c>
    </row>
    <row r="20" spans="1:8" ht="12">
      <c r="A20" t="s">
        <v>1376</v>
      </c>
      <c r="B20">
        <f>B34</f>
        <v>172</v>
      </c>
      <c r="D20">
        <f>D34</f>
        <v>172</v>
      </c>
      <c r="F20">
        <f>F34</f>
        <v>48</v>
      </c>
      <c r="H20">
        <f>H34</f>
        <v>48</v>
      </c>
    </row>
    <row r="22" spans="2:9" ht="12">
      <c r="B22" t="s">
        <v>1154</v>
      </c>
      <c r="C22" t="s">
        <v>1155</v>
      </c>
      <c r="D22" t="s">
        <v>1156</v>
      </c>
      <c r="E22" t="s">
        <v>1157</v>
      </c>
      <c r="F22" t="s">
        <v>1377</v>
      </c>
      <c r="G22" t="s">
        <v>1378</v>
      </c>
      <c r="H22" t="s">
        <v>1379</v>
      </c>
      <c r="I22" t="s">
        <v>1380</v>
      </c>
    </row>
    <row r="23" spans="1:9" ht="12">
      <c r="A23" t="s">
        <v>1158</v>
      </c>
      <c r="B23">
        <v>-0.012685</v>
      </c>
      <c r="C23">
        <v>-1.8391949</v>
      </c>
      <c r="D23">
        <v>-0.01051179</v>
      </c>
      <c r="E23">
        <v>-1.1215311</v>
      </c>
      <c r="F23">
        <v>0.00451748</v>
      </c>
      <c r="G23">
        <v>1.3071047</v>
      </c>
      <c r="H23">
        <v>0.00569645</v>
      </c>
      <c r="I23">
        <v>1.1508076</v>
      </c>
    </row>
    <row r="24" spans="1:9" ht="12">
      <c r="A24" t="s">
        <v>1159</v>
      </c>
      <c r="B24">
        <v>0.00989961</v>
      </c>
      <c r="C24">
        <v>1.4101172</v>
      </c>
      <c r="D24">
        <v>0.0095167</v>
      </c>
      <c r="E24">
        <v>1.3307601</v>
      </c>
      <c r="F24">
        <v>0.00367111</v>
      </c>
      <c r="G24">
        <v>1.1703565</v>
      </c>
      <c r="H24">
        <v>0.00399445</v>
      </c>
      <c r="I24">
        <v>1.18794</v>
      </c>
    </row>
    <row r="25" spans="1:9" ht="12">
      <c r="A25" t="s">
        <v>1160</v>
      </c>
      <c r="B25">
        <v>0.01396991</v>
      </c>
      <c r="C25">
        <v>1.2968546</v>
      </c>
      <c r="D25">
        <v>0.01975114</v>
      </c>
      <c r="E25">
        <v>1.7769896</v>
      </c>
      <c r="F25">
        <v>0.00710985</v>
      </c>
      <c r="G25">
        <v>1.9090315</v>
      </c>
      <c r="H25">
        <v>0.00382237</v>
      </c>
      <c r="I25">
        <v>0.85407943</v>
      </c>
    </row>
    <row r="26" spans="1:9" ht="12">
      <c r="A26" t="s">
        <v>1161</v>
      </c>
      <c r="B26">
        <v>-0.01053974</v>
      </c>
      <c r="C26">
        <v>-1.5923123</v>
      </c>
      <c r="D26">
        <v>-0.01061104</v>
      </c>
      <c r="E26">
        <v>-1.5687974</v>
      </c>
      <c r="F26">
        <v>0.00169802</v>
      </c>
      <c r="G26">
        <v>0.44659275</v>
      </c>
      <c r="H26">
        <v>0.00395597</v>
      </c>
      <c r="I26">
        <v>1.0023026</v>
      </c>
    </row>
    <row r="27" spans="1:9" ht="12">
      <c r="A27" t="s">
        <v>1162</v>
      </c>
      <c r="B27">
        <v>0.00362598</v>
      </c>
      <c r="C27">
        <v>0.3007695</v>
      </c>
      <c r="D27">
        <v>0.01098561</v>
      </c>
      <c r="E27">
        <v>0.86708115</v>
      </c>
      <c r="F27">
        <v>-0.00052586</v>
      </c>
      <c r="G27">
        <v>-0.14798915</v>
      </c>
      <c r="H27">
        <v>-0.00414601</v>
      </c>
      <c r="I27">
        <v>-1.036192</v>
      </c>
    </row>
    <row r="28" spans="1:9" ht="12">
      <c r="A28" t="s">
        <v>1163</v>
      </c>
      <c r="B28">
        <v>0.00371413</v>
      </c>
      <c r="C28">
        <v>0.458885</v>
      </c>
      <c r="D28">
        <v>0.00506682</v>
      </c>
      <c r="E28">
        <v>0.59819977</v>
      </c>
      <c r="F28">
        <v>-0.00377192</v>
      </c>
      <c r="G28">
        <v>-1.0433304</v>
      </c>
      <c r="H28">
        <v>-0.00783226</v>
      </c>
      <c r="I28">
        <v>-1.9003258</v>
      </c>
    </row>
    <row r="29" spans="1:9" ht="12">
      <c r="A29" t="s">
        <v>1164</v>
      </c>
      <c r="B29">
        <v>-0.02212625</v>
      </c>
      <c r="C29">
        <v>-3.2087492</v>
      </c>
      <c r="D29">
        <v>-0.01894993</v>
      </c>
      <c r="E29">
        <v>-2.5950531</v>
      </c>
      <c r="F29">
        <v>-0.02854883</v>
      </c>
      <c r="G29">
        <v>-5.1852596</v>
      </c>
      <c r="H29">
        <v>-0.02813723</v>
      </c>
      <c r="I29">
        <v>-4.7390592</v>
      </c>
    </row>
    <row r="30" spans="1:9" ht="12">
      <c r="A30" t="s">
        <v>1165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ht="12">
      <c r="A31" t="s">
        <v>1166</v>
      </c>
      <c r="B31">
        <v>0</v>
      </c>
      <c r="C31">
        <v>0</v>
      </c>
      <c r="D31">
        <v>1</v>
      </c>
      <c r="E31">
        <v>0</v>
      </c>
      <c r="F31">
        <v>0</v>
      </c>
      <c r="G31">
        <v>0</v>
      </c>
      <c r="H31">
        <v>1</v>
      </c>
      <c r="I31">
        <v>0</v>
      </c>
    </row>
    <row r="32" spans="1:9" ht="12">
      <c r="A32" t="s">
        <v>1167</v>
      </c>
      <c r="B32">
        <v>0.12626318</v>
      </c>
      <c r="C32">
        <v>0</v>
      </c>
      <c r="D32">
        <v>0.15037481</v>
      </c>
      <c r="E32">
        <v>0</v>
      </c>
      <c r="F32">
        <v>0.30834603</v>
      </c>
      <c r="G32">
        <v>0</v>
      </c>
      <c r="H32">
        <v>0.3692326</v>
      </c>
      <c r="I32">
        <v>0</v>
      </c>
    </row>
    <row r="33" spans="1:9" ht="12">
      <c r="A33" t="s">
        <v>1168</v>
      </c>
      <c r="B33">
        <v>317</v>
      </c>
      <c r="C33">
        <v>0</v>
      </c>
      <c r="D33">
        <v>317</v>
      </c>
      <c r="E33">
        <v>0</v>
      </c>
      <c r="F33">
        <v>88</v>
      </c>
      <c r="G33">
        <v>0</v>
      </c>
      <c r="H33">
        <v>88</v>
      </c>
      <c r="I33">
        <v>0</v>
      </c>
    </row>
    <row r="34" spans="1:9" ht="12">
      <c r="A34" t="s">
        <v>1169</v>
      </c>
      <c r="B34">
        <v>172</v>
      </c>
      <c r="C34">
        <v>0</v>
      </c>
      <c r="D34">
        <v>172</v>
      </c>
      <c r="E34">
        <v>0</v>
      </c>
      <c r="F34">
        <v>48</v>
      </c>
      <c r="G34">
        <v>0</v>
      </c>
      <c r="H34">
        <v>48</v>
      </c>
      <c r="I34">
        <v>0</v>
      </c>
    </row>
    <row r="52" ht="12">
      <c r="A52" t="s">
        <v>1710</v>
      </c>
    </row>
    <row r="53" ht="12">
      <c r="A53" t="s">
        <v>1703</v>
      </c>
    </row>
    <row r="54" ht="12">
      <c r="A54" t="s">
        <v>1</v>
      </c>
    </row>
    <row r="55" ht="12">
      <c r="A55" t="s">
        <v>2</v>
      </c>
    </row>
    <row r="56" ht="12">
      <c r="A56" t="s">
        <v>1712</v>
      </c>
    </row>
    <row r="57" ht="12">
      <c r="A57" t="s">
        <v>1706</v>
      </c>
    </row>
    <row r="58" ht="12">
      <c r="A58" t="s">
        <v>3</v>
      </c>
    </row>
    <row r="59" ht="12">
      <c r="A59" t="s">
        <v>4</v>
      </c>
    </row>
    <row r="60" ht="12">
      <c r="A60" t="s">
        <v>5</v>
      </c>
    </row>
    <row r="61" ht="12">
      <c r="A61" t="s">
        <v>6</v>
      </c>
    </row>
    <row r="62" ht="12">
      <c r="A62" t="s">
        <v>7</v>
      </c>
    </row>
    <row r="63" ht="12">
      <c r="A63" t="s">
        <v>8</v>
      </c>
    </row>
    <row r="64" ht="12">
      <c r="A64" t="s">
        <v>9</v>
      </c>
    </row>
    <row r="65" ht="12">
      <c r="A65" t="s">
        <v>10</v>
      </c>
    </row>
    <row r="66" ht="12">
      <c r="A66" t="s">
        <v>11</v>
      </c>
    </row>
    <row r="67" ht="12">
      <c r="A67" t="s">
        <v>12</v>
      </c>
    </row>
    <row r="68" ht="12">
      <c r="A68" t="s">
        <v>13</v>
      </c>
    </row>
    <row r="69" ht="12">
      <c r="A69" t="s">
        <v>14</v>
      </c>
    </row>
    <row r="70" ht="12">
      <c r="A70" t="s">
        <v>15</v>
      </c>
    </row>
    <row r="71" ht="12">
      <c r="A71" t="s">
        <v>16</v>
      </c>
    </row>
    <row r="72" ht="12">
      <c r="A72" t="s">
        <v>1706</v>
      </c>
    </row>
    <row r="73" ht="12">
      <c r="A73" t="s">
        <v>1719</v>
      </c>
    </row>
    <row r="74" ht="12">
      <c r="A74" t="s">
        <v>17</v>
      </c>
    </row>
    <row r="75" ht="12">
      <c r="A75" t="s">
        <v>1722</v>
      </c>
    </row>
    <row r="76" ht="12">
      <c r="A76" t="s">
        <v>18</v>
      </c>
    </row>
    <row r="77" ht="12">
      <c r="A77" t="s">
        <v>19</v>
      </c>
    </row>
    <row r="78" ht="12">
      <c r="A78" t="s">
        <v>20</v>
      </c>
    </row>
    <row r="79" ht="12">
      <c r="A79" t="s">
        <v>21</v>
      </c>
    </row>
    <row r="80" ht="12">
      <c r="A80" t="s">
        <v>22</v>
      </c>
    </row>
    <row r="81" ht="12">
      <c r="A81" t="s">
        <v>66</v>
      </c>
    </row>
    <row r="82" ht="12">
      <c r="A82" t="s">
        <v>67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3"/>
  <dimension ref="A1:K83"/>
  <sheetViews>
    <sheetView workbookViewId="0" topLeftCell="A1">
      <selection activeCell="B1" sqref="B1"/>
    </sheetView>
  </sheetViews>
  <sheetFormatPr defaultColWidth="9.00390625" defaultRowHeight="12.75"/>
  <cols>
    <col min="1" max="1" width="24.875" style="0" customWidth="1"/>
    <col min="2" max="2" width="10.50390625" style="0" customWidth="1"/>
    <col min="3" max="3" width="10.625" style="0" customWidth="1"/>
    <col min="4" max="4" width="10.875" style="0" customWidth="1"/>
    <col min="7" max="7" width="17.375" style="0" customWidth="1"/>
  </cols>
  <sheetData>
    <row r="1" spans="1:4" ht="12">
      <c r="A1" t="s">
        <v>1698</v>
      </c>
      <c r="B1">
        <v>2</v>
      </c>
      <c r="C1" t="s">
        <v>1699</v>
      </c>
      <c r="D1">
        <v>4</v>
      </c>
    </row>
    <row r="2" spans="1:2" ht="12">
      <c r="A2" t="s">
        <v>1700</v>
      </c>
      <c r="B2">
        <v>21</v>
      </c>
    </row>
    <row r="3" spans="1:2" ht="12">
      <c r="A3" t="s">
        <v>1701</v>
      </c>
      <c r="B3">
        <v>0</v>
      </c>
    </row>
    <row r="5" spans="1:11" ht="15">
      <c r="A5" t="s">
        <v>1680</v>
      </c>
      <c r="G5" s="28" t="s">
        <v>1630</v>
      </c>
      <c r="H5" s="29"/>
      <c r="I5" s="29"/>
      <c r="J5" s="29"/>
      <c r="K5" s="29"/>
    </row>
    <row r="6" spans="2:11" ht="12">
      <c r="B6" t="s">
        <v>1686</v>
      </c>
      <c r="D6" t="s">
        <v>1584</v>
      </c>
      <c r="G6" s="29"/>
      <c r="H6" s="59" t="s">
        <v>1583</v>
      </c>
      <c r="I6" s="59"/>
      <c r="J6" s="59" t="s">
        <v>1584</v>
      </c>
      <c r="K6" s="59"/>
    </row>
    <row r="7" spans="1:11" ht="12">
      <c r="A7" t="s">
        <v>1176</v>
      </c>
      <c r="B7">
        <v>2003</v>
      </c>
      <c r="C7">
        <v>2004</v>
      </c>
      <c r="D7">
        <v>2003</v>
      </c>
      <c r="E7">
        <v>2004</v>
      </c>
      <c r="G7" s="29"/>
      <c r="H7" s="29">
        <v>2003</v>
      </c>
      <c r="I7" s="29">
        <v>2004</v>
      </c>
      <c r="J7" s="29">
        <v>2003</v>
      </c>
      <c r="K7" s="29">
        <v>2004</v>
      </c>
    </row>
    <row r="8" spans="1:11" ht="12">
      <c r="A8" t="s">
        <v>1587</v>
      </c>
      <c r="B8">
        <v>4.04</v>
      </c>
      <c r="C8">
        <v>4.04</v>
      </c>
      <c r="D8">
        <v>2.16</v>
      </c>
      <c r="E8">
        <v>2.16</v>
      </c>
      <c r="F8">
        <v>2</v>
      </c>
      <c r="G8" s="29" t="str">
        <f>A8</f>
        <v>Age</v>
      </c>
      <c r="H8" s="29">
        <f>B8</f>
        <v>4.04</v>
      </c>
      <c r="I8" s="29">
        <f>C8</f>
        <v>4.04</v>
      </c>
      <c r="J8" s="29">
        <f>D8</f>
        <v>2.16</v>
      </c>
      <c r="K8" s="29">
        <f>E8</f>
        <v>2.16</v>
      </c>
    </row>
    <row r="9" spans="1:11" ht="12">
      <c r="A9" t="s">
        <v>315</v>
      </c>
      <c r="B9">
        <v>500</v>
      </c>
      <c r="C9">
        <v>500</v>
      </c>
      <c r="D9">
        <v>500</v>
      </c>
      <c r="E9">
        <v>500</v>
      </c>
      <c r="G9" s="29" t="s">
        <v>1624</v>
      </c>
      <c r="H9" s="30">
        <f aca="true" t="shared" si="0" ref="H9:K20">B10</f>
        <v>808.1841</v>
      </c>
      <c r="I9" s="30">
        <f t="shared" si="0"/>
        <v>2262.889366666667</v>
      </c>
      <c r="J9" s="30">
        <f t="shared" si="0"/>
        <v>747.9976666666666</v>
      </c>
      <c r="K9" s="30">
        <f t="shared" si="0"/>
        <v>747.9976666666666</v>
      </c>
    </row>
    <row r="10" spans="1:11" ht="12">
      <c r="A10" t="s">
        <v>1616</v>
      </c>
      <c r="B10" s="8">
        <f>B35/30/1000</f>
        <v>808.1841</v>
      </c>
      <c r="C10" s="8">
        <f>C35/30/1000</f>
        <v>2262.889366666667</v>
      </c>
      <c r="D10" s="8">
        <f>D35/30/1000</f>
        <v>747.9976666666666</v>
      </c>
      <c r="E10" s="8">
        <f>E35/30/1000</f>
        <v>747.9976666666666</v>
      </c>
      <c r="F10">
        <v>1</v>
      </c>
      <c r="G10" s="31" t="str">
        <f>A11</f>
        <v>N of obs</v>
      </c>
      <c r="H10" s="31">
        <f t="shared" si="0"/>
        <v>411</v>
      </c>
      <c r="I10" s="31">
        <f t="shared" si="0"/>
        <v>0</v>
      </c>
      <c r="J10" s="31">
        <f t="shared" si="0"/>
        <v>452</v>
      </c>
      <c r="K10" s="31">
        <f t="shared" si="0"/>
        <v>0</v>
      </c>
    </row>
    <row r="11" spans="1:11" ht="12">
      <c r="A11" t="s">
        <v>315</v>
      </c>
      <c r="B11" s="24">
        <f>B36</f>
        <v>411</v>
      </c>
      <c r="C11" s="24">
        <f>C36</f>
        <v>0</v>
      </c>
      <c r="D11" s="24">
        <f>D36</f>
        <v>452</v>
      </c>
      <c r="E11" s="24">
        <f>E36</f>
        <v>0</v>
      </c>
      <c r="G11" s="29" t="s">
        <v>1625</v>
      </c>
      <c r="H11" s="30">
        <f t="shared" si="0"/>
        <v>865.9943333333333</v>
      </c>
      <c r="I11" s="30">
        <f t="shared" si="0"/>
        <v>1911.5586666666668</v>
      </c>
      <c r="J11" s="30">
        <f t="shared" si="0"/>
        <v>950.2389333333333</v>
      </c>
      <c r="K11" s="30">
        <f t="shared" si="0"/>
        <v>950.2389333333333</v>
      </c>
    </row>
    <row r="12" spans="1:11" ht="12">
      <c r="A12" t="s">
        <v>1617</v>
      </c>
      <c r="B12" s="8">
        <f>B37/30/1000</f>
        <v>865.9943333333333</v>
      </c>
      <c r="C12" s="8">
        <f>C37/30/1000</f>
        <v>1911.5586666666668</v>
      </c>
      <c r="D12" s="8">
        <f>D37/30/1000</f>
        <v>950.2389333333333</v>
      </c>
      <c r="E12" s="8">
        <f>E37/30/1000</f>
        <v>950.2389333333333</v>
      </c>
      <c r="F12">
        <v>0</v>
      </c>
      <c r="G12" s="31" t="str">
        <f>A13</f>
        <v>N of obs</v>
      </c>
      <c r="H12" s="31">
        <f t="shared" si="0"/>
        <v>317</v>
      </c>
      <c r="I12" s="31">
        <f t="shared" si="0"/>
        <v>0</v>
      </c>
      <c r="J12" s="31">
        <f t="shared" si="0"/>
        <v>309</v>
      </c>
      <c r="K12" s="31">
        <f t="shared" si="0"/>
        <v>0</v>
      </c>
    </row>
    <row r="13" spans="1:11" ht="12">
      <c r="A13" t="s">
        <v>315</v>
      </c>
      <c r="B13" s="24">
        <f>B38</f>
        <v>317</v>
      </c>
      <c r="C13" s="24">
        <f>C38</f>
        <v>0</v>
      </c>
      <c r="D13" s="24">
        <f>D38</f>
        <v>309</v>
      </c>
      <c r="E13" s="24">
        <f>E38</f>
        <v>0</v>
      </c>
      <c r="G13" s="29" t="s">
        <v>1626</v>
      </c>
      <c r="H13" s="30">
        <f t="shared" si="0"/>
        <v>35.448926666666665</v>
      </c>
      <c r="I13" s="30">
        <f t="shared" si="0"/>
        <v>93.83429000000001</v>
      </c>
      <c r="J13" s="30">
        <f t="shared" si="0"/>
        <v>36.057629999999996</v>
      </c>
      <c r="K13" s="30">
        <f t="shared" si="0"/>
        <v>36.057629999999996</v>
      </c>
    </row>
    <row r="14" spans="1:11" ht="12">
      <c r="A14" t="s">
        <v>1618</v>
      </c>
      <c r="B14" s="8">
        <f>B39/30/1000</f>
        <v>35.448926666666665</v>
      </c>
      <c r="C14" s="8">
        <f>C39/30/1000</f>
        <v>93.83429000000001</v>
      </c>
      <c r="D14" s="8">
        <f>D39/30/1000</f>
        <v>36.057629999999996</v>
      </c>
      <c r="E14" s="8">
        <f>E39/30/1000</f>
        <v>36.057629999999996</v>
      </c>
      <c r="F14">
        <v>1</v>
      </c>
      <c r="G14" s="31" t="str">
        <f>A15</f>
        <v>N of obs</v>
      </c>
      <c r="H14" s="31">
        <f t="shared" si="0"/>
        <v>281</v>
      </c>
      <c r="I14" s="31">
        <f t="shared" si="0"/>
        <v>0</v>
      </c>
      <c r="J14" s="31">
        <f t="shared" si="0"/>
        <v>133</v>
      </c>
      <c r="K14" s="31">
        <f t="shared" si="0"/>
        <v>0</v>
      </c>
    </row>
    <row r="15" spans="1:11" ht="12">
      <c r="A15" t="s">
        <v>315</v>
      </c>
      <c r="B15" s="24">
        <f>B40</f>
        <v>281</v>
      </c>
      <c r="C15" s="24">
        <f>C40</f>
        <v>0</v>
      </c>
      <c r="D15" s="24">
        <f>D40</f>
        <v>133</v>
      </c>
      <c r="E15" s="24">
        <f>E40</f>
        <v>0</v>
      </c>
      <c r="G15" s="29" t="s">
        <v>1627</v>
      </c>
      <c r="H15" s="30">
        <f t="shared" si="0"/>
        <v>25.763607</v>
      </c>
      <c r="I15" s="30">
        <f t="shared" si="0"/>
        <v>81.21631</v>
      </c>
      <c r="J15" s="30">
        <f t="shared" si="0"/>
        <v>34.99766666666667</v>
      </c>
      <c r="K15" s="30">
        <f t="shared" si="0"/>
        <v>34.99766666666667</v>
      </c>
    </row>
    <row r="16" spans="1:11" ht="12">
      <c r="A16" t="s">
        <v>1619</v>
      </c>
      <c r="B16" s="8">
        <f>B41/30/1000</f>
        <v>25.763607</v>
      </c>
      <c r="C16" s="8">
        <f>C41/30/1000</f>
        <v>81.21631</v>
      </c>
      <c r="D16" s="8">
        <f>D41/30/1000</f>
        <v>34.99766666666667</v>
      </c>
      <c r="E16" s="8">
        <f>E41/30/1000</f>
        <v>34.99766666666667</v>
      </c>
      <c r="F16">
        <v>0</v>
      </c>
      <c r="G16" s="31" t="str">
        <f>A17</f>
        <v>N of obs</v>
      </c>
      <c r="H16" s="31">
        <f t="shared" si="0"/>
        <v>325</v>
      </c>
      <c r="I16" s="31">
        <f t="shared" si="0"/>
        <v>0</v>
      </c>
      <c r="J16" s="31">
        <f t="shared" si="0"/>
        <v>315</v>
      </c>
      <c r="K16" s="31">
        <f t="shared" si="0"/>
        <v>0</v>
      </c>
    </row>
    <row r="17" spans="1:11" ht="12">
      <c r="A17" t="s">
        <v>315</v>
      </c>
      <c r="B17" s="24">
        <f>B42</f>
        <v>325</v>
      </c>
      <c r="C17" s="24">
        <f>C42</f>
        <v>0</v>
      </c>
      <c r="D17" s="24">
        <f>D42</f>
        <v>315</v>
      </c>
      <c r="E17" s="24">
        <f>E42</f>
        <v>0</v>
      </c>
      <c r="G17" s="29" t="s">
        <v>1628</v>
      </c>
      <c r="H17" s="32">
        <f t="shared" si="0"/>
        <v>5.649185999999999</v>
      </c>
      <c r="I17" s="32">
        <f t="shared" si="0"/>
        <v>9.562782</v>
      </c>
      <c r="J17" s="32">
        <f t="shared" si="0"/>
        <v>4.784838000000001</v>
      </c>
      <c r="K17" s="32">
        <f t="shared" si="0"/>
        <v>4.784838000000001</v>
      </c>
    </row>
    <row r="18" spans="1:11" ht="12">
      <c r="A18" t="s">
        <v>1586</v>
      </c>
      <c r="B18" s="8">
        <f>B43*100</f>
        <v>5.649185999999999</v>
      </c>
      <c r="C18" s="8">
        <f>C43*100</f>
        <v>9.562782</v>
      </c>
      <c r="D18" s="8">
        <f>D43*100</f>
        <v>4.784838000000001</v>
      </c>
      <c r="E18" s="8">
        <f>E43*100</f>
        <v>4.784838000000001</v>
      </c>
      <c r="F18">
        <v>1</v>
      </c>
      <c r="G18" s="31" t="s">
        <v>315</v>
      </c>
      <c r="H18" s="33">
        <f t="shared" si="0"/>
        <v>278</v>
      </c>
      <c r="I18" s="33">
        <f t="shared" si="0"/>
        <v>0</v>
      </c>
      <c r="J18" s="33">
        <f t="shared" si="0"/>
        <v>132</v>
      </c>
      <c r="K18" s="33">
        <f t="shared" si="0"/>
        <v>0</v>
      </c>
    </row>
    <row r="19" spans="1:11" ht="12">
      <c r="A19" t="s">
        <v>315</v>
      </c>
      <c r="B19" s="24">
        <f>B44</f>
        <v>278</v>
      </c>
      <c r="C19" s="24">
        <f>C44</f>
        <v>0</v>
      </c>
      <c r="D19" s="24">
        <f>D44</f>
        <v>132</v>
      </c>
      <c r="E19" s="24">
        <f>E44</f>
        <v>0</v>
      </c>
      <c r="G19" s="29" t="s">
        <v>1629</v>
      </c>
      <c r="H19" s="32">
        <f t="shared" si="0"/>
        <v>6.43253</v>
      </c>
      <c r="I19" s="32">
        <f t="shared" si="0"/>
        <v>9.406923</v>
      </c>
      <c r="J19" s="32">
        <f t="shared" si="0"/>
        <v>6.550019</v>
      </c>
      <c r="K19" s="32">
        <f t="shared" si="0"/>
        <v>6.550019</v>
      </c>
    </row>
    <row r="20" spans="1:11" ht="12">
      <c r="A20" t="s">
        <v>1615</v>
      </c>
      <c r="B20" s="8">
        <f>B45*100</f>
        <v>6.43253</v>
      </c>
      <c r="C20" s="8">
        <f>C45*100</f>
        <v>9.406923</v>
      </c>
      <c r="D20" s="8">
        <f>D45*100</f>
        <v>6.550019</v>
      </c>
      <c r="E20" s="8">
        <f>E45*100</f>
        <v>6.550019</v>
      </c>
      <c r="F20">
        <v>1</v>
      </c>
      <c r="G20" s="31" t="s">
        <v>315</v>
      </c>
      <c r="H20" s="33">
        <f t="shared" si="0"/>
        <v>244</v>
      </c>
      <c r="I20" s="33">
        <f t="shared" si="0"/>
        <v>0</v>
      </c>
      <c r="J20" s="33">
        <f t="shared" si="0"/>
        <v>234</v>
      </c>
      <c r="K20" s="33">
        <f t="shared" si="0"/>
        <v>0</v>
      </c>
    </row>
    <row r="21" spans="1:5" ht="12">
      <c r="A21" t="s">
        <v>315</v>
      </c>
      <c r="B21" s="24">
        <f>B46</f>
        <v>244</v>
      </c>
      <c r="C21" s="24">
        <f>C46</f>
        <v>0</v>
      </c>
      <c r="D21" s="24">
        <f>D46</f>
        <v>234</v>
      </c>
      <c r="E21" s="24">
        <f>E46</f>
        <v>0</v>
      </c>
    </row>
    <row r="22" spans="1:7" ht="12">
      <c r="A22" t="s">
        <v>141</v>
      </c>
      <c r="B22" s="8">
        <f>B54*100</f>
        <v>26.213592000000002</v>
      </c>
      <c r="C22" s="8"/>
      <c r="D22" s="8">
        <f>D54*100</f>
        <v>28.082192</v>
      </c>
      <c r="E22" s="8"/>
      <c r="F22">
        <v>1</v>
      </c>
      <c r="G22" s="17">
        <f>EXP(0.5)</f>
        <v>1.6487212707001282</v>
      </c>
    </row>
    <row r="23" spans="1:6" ht="12">
      <c r="A23" t="s">
        <v>142</v>
      </c>
      <c r="B23" s="8">
        <f>B55*100</f>
        <v>70.87378600000001</v>
      </c>
      <c r="C23" s="8"/>
      <c r="D23" s="8">
        <f>D55*100</f>
        <v>64.041096</v>
      </c>
      <c r="E23" s="8"/>
      <c r="F23">
        <v>1</v>
      </c>
    </row>
    <row r="24" ht="12">
      <c r="A24" t="s">
        <v>1585</v>
      </c>
    </row>
    <row r="25" spans="1:6" ht="12">
      <c r="A25" t="s">
        <v>1613</v>
      </c>
      <c r="B25" s="27">
        <f aca="true" t="shared" si="1" ref="B25:E28">B48</f>
        <v>0.75923091</v>
      </c>
      <c r="C25" s="27">
        <f t="shared" si="1"/>
        <v>0</v>
      </c>
      <c r="D25" s="27">
        <f t="shared" si="1"/>
        <v>0.56002575</v>
      </c>
      <c r="E25" s="27">
        <f t="shared" si="1"/>
        <v>0</v>
      </c>
      <c r="F25">
        <v>2</v>
      </c>
    </row>
    <row r="26" spans="1:11" ht="15">
      <c r="A26" t="s">
        <v>315</v>
      </c>
      <c r="B26">
        <f t="shared" si="1"/>
        <v>309</v>
      </c>
      <c r="C26">
        <f t="shared" si="1"/>
        <v>0</v>
      </c>
      <c r="D26">
        <f t="shared" si="1"/>
        <v>292</v>
      </c>
      <c r="E26">
        <f t="shared" si="1"/>
        <v>0</v>
      </c>
      <c r="G26" s="28" t="s">
        <v>1631</v>
      </c>
      <c r="H26" s="29"/>
      <c r="I26" s="29"/>
      <c r="J26" s="29"/>
      <c r="K26" s="29"/>
    </row>
    <row r="27" spans="1:11" ht="12">
      <c r="A27" t="s">
        <v>1682</v>
      </c>
      <c r="B27" s="27">
        <f t="shared" si="1"/>
        <v>0.87206954</v>
      </c>
      <c r="C27" s="27">
        <f t="shared" si="1"/>
        <v>0</v>
      </c>
      <c r="D27" s="27">
        <f t="shared" si="1"/>
        <v>0.86824397</v>
      </c>
      <c r="E27" s="27">
        <f t="shared" si="1"/>
        <v>0</v>
      </c>
      <c r="F27">
        <v>2</v>
      </c>
      <c r="G27" s="29"/>
      <c r="H27" s="59" t="s">
        <v>1583</v>
      </c>
      <c r="I27" s="59"/>
      <c r="J27" s="59" t="s">
        <v>1584</v>
      </c>
      <c r="K27" s="59"/>
    </row>
    <row r="28" spans="1:11" ht="12">
      <c r="A28" t="s">
        <v>315</v>
      </c>
      <c r="B28">
        <f t="shared" si="1"/>
        <v>206</v>
      </c>
      <c r="C28">
        <f t="shared" si="1"/>
        <v>0</v>
      </c>
      <c r="D28">
        <f t="shared" si="1"/>
        <v>87</v>
      </c>
      <c r="E28">
        <f t="shared" si="1"/>
        <v>0</v>
      </c>
      <c r="G28" s="29"/>
      <c r="H28" s="29">
        <v>2003</v>
      </c>
      <c r="I28" s="29">
        <v>2004</v>
      </c>
      <c r="J28" s="29">
        <v>2003</v>
      </c>
      <c r="K28" s="29">
        <v>2004</v>
      </c>
    </row>
    <row r="29" spans="1:11" ht="12">
      <c r="A29" t="s">
        <v>1614</v>
      </c>
      <c r="B29" s="27">
        <f aca="true" t="shared" si="2" ref="B29:E30">B52</f>
        <v>0.66004343</v>
      </c>
      <c r="C29" s="27">
        <f t="shared" si="2"/>
        <v>0</v>
      </c>
      <c r="D29" s="27">
        <f t="shared" si="2"/>
        <v>0.49057476</v>
      </c>
      <c r="E29" s="27">
        <f t="shared" si="2"/>
        <v>0</v>
      </c>
      <c r="G29" s="29"/>
      <c r="H29" s="29"/>
      <c r="I29" s="29"/>
      <c r="J29" s="29"/>
      <c r="K29" s="29"/>
    </row>
    <row r="30" spans="1:11" ht="12">
      <c r="A30" t="s">
        <v>315</v>
      </c>
      <c r="B30">
        <f t="shared" si="2"/>
        <v>199</v>
      </c>
      <c r="C30">
        <f t="shared" si="2"/>
        <v>0</v>
      </c>
      <c r="D30">
        <f t="shared" si="2"/>
        <v>85</v>
      </c>
      <c r="E30">
        <f t="shared" si="2"/>
        <v>0</v>
      </c>
      <c r="F30">
        <v>1</v>
      </c>
      <c r="G30" s="29" t="s">
        <v>1585</v>
      </c>
      <c r="H30" s="29"/>
      <c r="I30" s="29"/>
      <c r="J30" s="29"/>
      <c r="K30" s="29"/>
    </row>
    <row r="31" spans="6:11" ht="12">
      <c r="F31">
        <v>1</v>
      </c>
      <c r="G31" s="3" t="s">
        <v>1632</v>
      </c>
      <c r="H31" s="30">
        <f>B25</f>
        <v>0.75923091</v>
      </c>
      <c r="I31" s="30">
        <f>C25</f>
        <v>0</v>
      </c>
      <c r="J31" s="30">
        <f>D25</f>
        <v>0.56002575</v>
      </c>
      <c r="K31" s="30">
        <f>E25</f>
        <v>0</v>
      </c>
    </row>
    <row r="32" spans="6:11" ht="12">
      <c r="F32">
        <v>1</v>
      </c>
      <c r="G32" s="31" t="str">
        <f>A28</f>
        <v>N of obs</v>
      </c>
      <c r="H32" s="31">
        <f>B26</f>
        <v>309</v>
      </c>
      <c r="I32" s="31">
        <f aca="true" t="shared" si="3" ref="I32:K33">C26</f>
        <v>0</v>
      </c>
      <c r="J32" s="31">
        <f t="shared" si="3"/>
        <v>292</v>
      </c>
      <c r="K32" s="31">
        <f t="shared" si="3"/>
        <v>0</v>
      </c>
    </row>
    <row r="33" spans="7:11" ht="12">
      <c r="G33" s="29" t="s">
        <v>1633</v>
      </c>
      <c r="H33" s="30">
        <f>B27</f>
        <v>0.87206954</v>
      </c>
      <c r="I33" s="30">
        <f t="shared" si="3"/>
        <v>0</v>
      </c>
      <c r="J33" s="30">
        <f t="shared" si="3"/>
        <v>0.86824397</v>
      </c>
      <c r="K33" s="30">
        <f t="shared" si="3"/>
        <v>0</v>
      </c>
    </row>
    <row r="34" spans="2:11" ht="12">
      <c r="B34" t="s">
        <v>1154</v>
      </c>
      <c r="C34" t="s">
        <v>1155</v>
      </c>
      <c r="D34" t="s">
        <v>1156</v>
      </c>
      <c r="E34" t="s">
        <v>1157</v>
      </c>
      <c r="G34" s="31" t="s">
        <v>315</v>
      </c>
      <c r="H34" s="31">
        <f>B28</f>
        <v>206</v>
      </c>
      <c r="I34" s="31">
        <f>C28</f>
        <v>0</v>
      </c>
      <c r="J34" s="31">
        <f>D28</f>
        <v>87</v>
      </c>
      <c r="K34" s="31">
        <f>E28</f>
        <v>0</v>
      </c>
    </row>
    <row r="35" spans="1:11" ht="12">
      <c r="A35" t="s">
        <v>1158</v>
      </c>
      <c r="B35">
        <v>24245523</v>
      </c>
      <c r="C35">
        <v>67886681</v>
      </c>
      <c r="D35">
        <v>22439930</v>
      </c>
      <c r="E35">
        <v>22439930</v>
      </c>
      <c r="G35" s="31"/>
      <c r="H35" s="31"/>
      <c r="I35" s="31"/>
      <c r="J35" s="31"/>
      <c r="K35" s="31"/>
    </row>
    <row r="36" spans="1:11" ht="12">
      <c r="A36" t="s">
        <v>1159</v>
      </c>
      <c r="B36">
        <v>411</v>
      </c>
      <c r="C36">
        <v>0</v>
      </c>
      <c r="D36">
        <v>452</v>
      </c>
      <c r="E36">
        <v>0</v>
      </c>
      <c r="G36" s="29"/>
      <c r="H36" s="30"/>
      <c r="I36" s="30"/>
      <c r="J36" s="30"/>
      <c r="K36" s="30"/>
    </row>
    <row r="37" spans="1:11" ht="12">
      <c r="A37" t="s">
        <v>1160</v>
      </c>
      <c r="B37">
        <v>25979830</v>
      </c>
      <c r="C37">
        <v>57346760</v>
      </c>
      <c r="D37">
        <v>28507168</v>
      </c>
      <c r="E37">
        <v>28507168</v>
      </c>
      <c r="G37" s="31"/>
      <c r="H37" s="31"/>
      <c r="I37" s="31"/>
      <c r="J37" s="31"/>
      <c r="K37" s="31"/>
    </row>
    <row r="38" spans="1:11" ht="12">
      <c r="A38" t="s">
        <v>1161</v>
      </c>
      <c r="B38">
        <v>317</v>
      </c>
      <c r="C38">
        <v>0</v>
      </c>
      <c r="D38">
        <v>309</v>
      </c>
      <c r="E38">
        <v>0</v>
      </c>
      <c r="G38" s="29"/>
      <c r="H38" s="30"/>
      <c r="I38" s="30"/>
      <c r="J38" s="30"/>
      <c r="K38" s="30"/>
    </row>
    <row r="39" spans="1:11" ht="12">
      <c r="A39" t="s">
        <v>1162</v>
      </c>
      <c r="B39">
        <v>1063467.8</v>
      </c>
      <c r="C39">
        <v>2815028.7</v>
      </c>
      <c r="D39">
        <v>1081728.9</v>
      </c>
      <c r="E39">
        <v>1081728.9</v>
      </c>
      <c r="G39" s="31"/>
      <c r="H39" s="31"/>
      <c r="I39" s="31"/>
      <c r="J39" s="31"/>
      <c r="K39" s="31"/>
    </row>
    <row r="40" spans="1:11" ht="12">
      <c r="A40" t="s">
        <v>1163</v>
      </c>
      <c r="B40">
        <v>281</v>
      </c>
      <c r="C40">
        <v>0</v>
      </c>
      <c r="D40">
        <v>133</v>
      </c>
      <c r="E40">
        <v>0</v>
      </c>
      <c r="G40" s="29"/>
      <c r="H40" s="32"/>
      <c r="I40" s="32"/>
      <c r="J40" s="32"/>
      <c r="K40" s="32"/>
    </row>
    <row r="41" spans="1:11" ht="12">
      <c r="A41" t="s">
        <v>1164</v>
      </c>
      <c r="B41">
        <v>772908.21</v>
      </c>
      <c r="C41">
        <v>2436489.3</v>
      </c>
      <c r="D41">
        <v>1049930</v>
      </c>
      <c r="E41">
        <v>1049930</v>
      </c>
      <c r="G41" s="31"/>
      <c r="H41" s="33"/>
      <c r="I41" s="33"/>
      <c r="J41" s="33"/>
      <c r="K41" s="33"/>
    </row>
    <row r="42" spans="1:11" ht="12">
      <c r="A42" t="s">
        <v>1165</v>
      </c>
      <c r="B42">
        <v>325</v>
      </c>
      <c r="C42">
        <v>0</v>
      </c>
      <c r="D42">
        <v>315</v>
      </c>
      <c r="E42">
        <v>0</v>
      </c>
      <c r="G42" s="29"/>
      <c r="H42" s="32"/>
      <c r="I42" s="32"/>
      <c r="J42" s="32"/>
      <c r="K42" s="32"/>
    </row>
    <row r="43" spans="1:11" ht="12">
      <c r="A43" t="s">
        <v>1166</v>
      </c>
      <c r="B43">
        <v>0.05649186</v>
      </c>
      <c r="C43">
        <v>0.09562782</v>
      </c>
      <c r="D43">
        <v>0.04784838</v>
      </c>
      <c r="E43">
        <v>0.04784838</v>
      </c>
      <c r="G43" s="31"/>
      <c r="H43" s="33"/>
      <c r="I43" s="33"/>
      <c r="J43" s="33"/>
      <c r="K43" s="33"/>
    </row>
    <row r="44" spans="1:5" ht="12">
      <c r="A44" t="s">
        <v>1167</v>
      </c>
      <c r="B44">
        <v>278</v>
      </c>
      <c r="C44">
        <v>0</v>
      </c>
      <c r="D44">
        <v>132</v>
      </c>
      <c r="E44">
        <v>0</v>
      </c>
    </row>
    <row r="45" spans="1:5" ht="12">
      <c r="A45" t="s">
        <v>1168</v>
      </c>
      <c r="B45">
        <v>0.0643253</v>
      </c>
      <c r="C45">
        <v>0.09406923</v>
      </c>
      <c r="D45">
        <v>0.06550019</v>
      </c>
      <c r="E45">
        <v>0.06550019</v>
      </c>
    </row>
    <row r="46" spans="1:5" ht="12">
      <c r="A46" t="s">
        <v>1169</v>
      </c>
      <c r="B46">
        <v>244</v>
      </c>
      <c r="C46">
        <v>0</v>
      </c>
      <c r="D46">
        <v>234</v>
      </c>
      <c r="E46">
        <v>0</v>
      </c>
    </row>
    <row r="47" spans="1:5" ht="12">
      <c r="A47" t="s">
        <v>1170</v>
      </c>
      <c r="B47">
        <v>0</v>
      </c>
      <c r="C47">
        <v>0</v>
      </c>
      <c r="D47">
        <v>0</v>
      </c>
      <c r="E47">
        <v>0</v>
      </c>
    </row>
    <row r="48" spans="1:5" ht="12">
      <c r="A48" t="s">
        <v>1171</v>
      </c>
      <c r="B48">
        <v>0.75923091</v>
      </c>
      <c r="C48">
        <v>0</v>
      </c>
      <c r="D48">
        <v>0.56002575</v>
      </c>
      <c r="E48">
        <v>0</v>
      </c>
    </row>
    <row r="49" spans="1:5" ht="12">
      <c r="A49" t="s">
        <v>1172</v>
      </c>
      <c r="B49">
        <v>309</v>
      </c>
      <c r="C49">
        <v>0</v>
      </c>
      <c r="D49">
        <v>292</v>
      </c>
      <c r="E49">
        <v>0</v>
      </c>
    </row>
    <row r="50" spans="1:5" ht="12">
      <c r="A50" t="s">
        <v>1173</v>
      </c>
      <c r="B50">
        <v>0.87206954</v>
      </c>
      <c r="C50">
        <v>0</v>
      </c>
      <c r="D50">
        <v>0.86824397</v>
      </c>
      <c r="E50">
        <v>0</v>
      </c>
    </row>
    <row r="51" spans="1:5" ht="12">
      <c r="A51" t="s">
        <v>1174</v>
      </c>
      <c r="B51">
        <v>206</v>
      </c>
      <c r="C51">
        <v>0</v>
      </c>
      <c r="D51">
        <v>87</v>
      </c>
      <c r="E51">
        <v>0</v>
      </c>
    </row>
    <row r="52" spans="1:5" ht="12">
      <c r="A52" t="s">
        <v>1175</v>
      </c>
      <c r="B52">
        <v>0.66004343</v>
      </c>
      <c r="C52">
        <v>0</v>
      </c>
      <c r="D52">
        <v>0.49057476</v>
      </c>
      <c r="E52">
        <v>0</v>
      </c>
    </row>
    <row r="53" spans="1:5" ht="12">
      <c r="A53" t="s">
        <v>1254</v>
      </c>
      <c r="B53">
        <v>199</v>
      </c>
      <c r="C53">
        <v>0</v>
      </c>
      <c r="D53">
        <v>85</v>
      </c>
      <c r="E53">
        <v>0</v>
      </c>
    </row>
    <row r="54" spans="1:5" ht="12">
      <c r="A54" t="s">
        <v>1582</v>
      </c>
      <c r="B54">
        <v>0.26213592</v>
      </c>
      <c r="C54">
        <v>0</v>
      </c>
      <c r="D54">
        <v>0.28082192</v>
      </c>
      <c r="E54">
        <v>0</v>
      </c>
    </row>
    <row r="55" spans="1:5" ht="12">
      <c r="A55" t="s">
        <v>1681</v>
      </c>
      <c r="B55">
        <v>0.70873786</v>
      </c>
      <c r="C55">
        <v>0</v>
      </c>
      <c r="D55">
        <v>0.64041096</v>
      </c>
      <c r="E55">
        <v>0</v>
      </c>
    </row>
    <row r="56" ht="12">
      <c r="A56" t="s">
        <v>1703</v>
      </c>
    </row>
    <row r="57" ht="12">
      <c r="A57" t="s">
        <v>91</v>
      </c>
    </row>
    <row r="58" ht="12">
      <c r="A58" t="s">
        <v>92</v>
      </c>
    </row>
    <row r="59" ht="12">
      <c r="A59" t="s">
        <v>1706</v>
      </c>
    </row>
    <row r="60" ht="12">
      <c r="A60" t="s">
        <v>104</v>
      </c>
    </row>
    <row r="61" ht="12">
      <c r="A61" t="s">
        <v>93</v>
      </c>
    </row>
    <row r="62" ht="12">
      <c r="A62" t="s">
        <v>105</v>
      </c>
    </row>
    <row r="63" ht="12">
      <c r="A63" t="s">
        <v>94</v>
      </c>
    </row>
    <row r="64" ht="12">
      <c r="A64" t="s">
        <v>95</v>
      </c>
    </row>
    <row r="65" ht="12">
      <c r="A65" t="s">
        <v>96</v>
      </c>
    </row>
    <row r="66" ht="12">
      <c r="A66" t="s">
        <v>106</v>
      </c>
    </row>
    <row r="67" ht="12">
      <c r="A67" t="s">
        <v>97</v>
      </c>
    </row>
    <row r="68" ht="12">
      <c r="A68" t="s">
        <v>98</v>
      </c>
    </row>
    <row r="69" ht="12">
      <c r="A69" t="s">
        <v>99</v>
      </c>
    </row>
    <row r="70" ht="12">
      <c r="A70" t="s">
        <v>107</v>
      </c>
    </row>
    <row r="71" ht="12">
      <c r="A71" t="s">
        <v>100</v>
      </c>
    </row>
    <row r="72" ht="12">
      <c r="A72" t="s">
        <v>108</v>
      </c>
    </row>
    <row r="73" ht="12">
      <c r="A73" t="s">
        <v>101</v>
      </c>
    </row>
    <row r="74" ht="12">
      <c r="A74" t="s">
        <v>109</v>
      </c>
    </row>
    <row r="75" ht="12">
      <c r="A75" t="s">
        <v>110</v>
      </c>
    </row>
    <row r="76" ht="12">
      <c r="A76" t="s">
        <v>102</v>
      </c>
    </row>
    <row r="77" ht="12">
      <c r="A77" t="s">
        <v>111</v>
      </c>
    </row>
    <row r="78" ht="12">
      <c r="A78" t="s">
        <v>103</v>
      </c>
    </row>
    <row r="79" ht="12">
      <c r="A79" t="s">
        <v>112</v>
      </c>
    </row>
    <row r="80" ht="12">
      <c r="A80" t="s">
        <v>113</v>
      </c>
    </row>
    <row r="81" ht="12">
      <c r="A81" t="s">
        <v>1706</v>
      </c>
    </row>
    <row r="82" ht="12">
      <c r="A82" t="s">
        <v>66</v>
      </c>
    </row>
    <row r="83" ht="12">
      <c r="A83" t="s">
        <v>67</v>
      </c>
    </row>
  </sheetData>
  <mergeCells count="4">
    <mergeCell ref="H27:I27"/>
    <mergeCell ref="J27:K27"/>
    <mergeCell ref="H6:I6"/>
    <mergeCell ref="J6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6"/>
  <dimension ref="A1:K88"/>
  <sheetViews>
    <sheetView workbookViewId="0" topLeftCell="A1">
      <selection activeCell="B29" sqref="B29"/>
    </sheetView>
  </sheetViews>
  <sheetFormatPr defaultColWidth="9.00390625" defaultRowHeight="12.75"/>
  <cols>
    <col min="1" max="1" width="24.875" style="0" customWidth="1"/>
    <col min="2" max="2" width="10.50390625" style="0" customWidth="1"/>
    <col min="3" max="3" width="10.625" style="0" customWidth="1"/>
    <col min="4" max="4" width="10.875" style="0" customWidth="1"/>
    <col min="7" max="7" width="17.375" style="0" customWidth="1"/>
  </cols>
  <sheetData>
    <row r="1" spans="1:4" ht="12">
      <c r="A1" t="s">
        <v>1698</v>
      </c>
      <c r="B1">
        <v>1</v>
      </c>
      <c r="C1" t="s">
        <v>1699</v>
      </c>
      <c r="D1">
        <v>2</v>
      </c>
    </row>
    <row r="2" spans="1:2" ht="12">
      <c r="A2" t="s">
        <v>1700</v>
      </c>
      <c r="B2">
        <v>21</v>
      </c>
    </row>
    <row r="3" spans="1:2" ht="12">
      <c r="A3" t="s">
        <v>1701</v>
      </c>
      <c r="B3">
        <v>0</v>
      </c>
    </row>
    <row r="5" spans="1:11" ht="15">
      <c r="A5" t="s">
        <v>1412</v>
      </c>
      <c r="G5" s="28" t="s">
        <v>1630</v>
      </c>
      <c r="H5" s="29"/>
      <c r="I5" s="29"/>
      <c r="J5" s="29"/>
      <c r="K5" s="29"/>
    </row>
    <row r="6" spans="1:11" ht="12">
      <c r="A6" t="s">
        <v>1176</v>
      </c>
      <c r="B6">
        <v>2003</v>
      </c>
      <c r="D6">
        <v>2004</v>
      </c>
      <c r="G6" s="29"/>
      <c r="H6" s="59" t="s">
        <v>1583</v>
      </c>
      <c r="I6" s="59"/>
      <c r="J6" s="59" t="s">
        <v>1584</v>
      </c>
      <c r="K6" s="59"/>
    </row>
    <row r="7" spans="1:11" ht="12">
      <c r="A7" t="s">
        <v>1617</v>
      </c>
      <c r="B7" s="8">
        <f>B32/30/1000</f>
        <v>808.1841</v>
      </c>
      <c r="C7" s="8">
        <f>C32/30/1000</f>
        <v>2262.889366666667</v>
      </c>
      <c r="D7" s="8">
        <f>D32/30/1000</f>
        <v>747.9976666666666</v>
      </c>
      <c r="E7" s="8">
        <f>E32/30/1000</f>
        <v>2051.7345666666665</v>
      </c>
      <c r="F7">
        <v>1</v>
      </c>
      <c r="G7" s="29"/>
      <c r="H7" s="29">
        <v>2003</v>
      </c>
      <c r="I7" s="29">
        <v>2004</v>
      </c>
      <c r="J7" s="29">
        <v>2003</v>
      </c>
      <c r="K7" s="29">
        <v>2004</v>
      </c>
    </row>
    <row r="8" spans="1:11" ht="12">
      <c r="A8" t="s">
        <v>315</v>
      </c>
      <c r="B8" s="24">
        <f>B33</f>
        <v>411</v>
      </c>
      <c r="C8" s="24"/>
      <c r="D8" s="24">
        <f>D33</f>
        <v>452</v>
      </c>
      <c r="E8" s="24"/>
      <c r="G8" s="29" t="e">
        <f>#REF!</f>
        <v>#REF!</v>
      </c>
      <c r="H8" s="29" t="e">
        <f>#REF!</f>
        <v>#REF!</v>
      </c>
      <c r="I8" s="29" t="e">
        <f>#REF!</f>
        <v>#REF!</v>
      </c>
      <c r="J8" s="29" t="e">
        <f>#REF!</f>
        <v>#REF!</v>
      </c>
      <c r="K8" s="29" t="e">
        <f>#REF!</f>
        <v>#REF!</v>
      </c>
    </row>
    <row r="9" spans="1:11" ht="12">
      <c r="A9" t="s">
        <v>1619</v>
      </c>
      <c r="B9" s="8">
        <f>B34/30/1000</f>
        <v>865.9943333333333</v>
      </c>
      <c r="C9" s="8">
        <f>C34/30/1000</f>
        <v>1911.5586666666668</v>
      </c>
      <c r="D9" s="8">
        <f>D34/30/1000</f>
        <v>950.2389333333333</v>
      </c>
      <c r="E9" s="8">
        <f>E34/30/1000</f>
        <v>2024.2884</v>
      </c>
      <c r="F9">
        <v>1</v>
      </c>
      <c r="G9" s="29" t="s">
        <v>1624</v>
      </c>
      <c r="H9" s="30">
        <f aca="true" t="shared" si="0" ref="H9:K20">B7</f>
        <v>808.1841</v>
      </c>
      <c r="I9" s="30">
        <f t="shared" si="0"/>
        <v>2262.889366666667</v>
      </c>
      <c r="J9" s="30">
        <f t="shared" si="0"/>
        <v>747.9976666666666</v>
      </c>
      <c r="K9" s="30">
        <f t="shared" si="0"/>
        <v>2051.7345666666665</v>
      </c>
    </row>
    <row r="10" spans="1:11" ht="12">
      <c r="A10" t="s">
        <v>315</v>
      </c>
      <c r="B10" s="24">
        <f>B35</f>
        <v>317</v>
      </c>
      <c r="C10" s="24"/>
      <c r="D10" s="24">
        <f>D35</f>
        <v>309</v>
      </c>
      <c r="E10" s="24"/>
      <c r="G10" s="31" t="str">
        <f>A8</f>
        <v>N of obs</v>
      </c>
      <c r="H10" s="31">
        <f t="shared" si="0"/>
        <v>411</v>
      </c>
      <c r="I10" s="31">
        <f t="shared" si="0"/>
        <v>0</v>
      </c>
      <c r="J10" s="31">
        <f t="shared" si="0"/>
        <v>452</v>
      </c>
      <c r="K10" s="31">
        <f t="shared" si="0"/>
        <v>0</v>
      </c>
    </row>
    <row r="11" spans="1:11" ht="12">
      <c r="A11" t="s">
        <v>1616</v>
      </c>
      <c r="B11" s="8">
        <f>B36/30/1000</f>
        <v>35.448926666666665</v>
      </c>
      <c r="C11" s="8">
        <f>C36/30/1000</f>
        <v>93.83429000000001</v>
      </c>
      <c r="D11" s="8">
        <f>D36/30/1000</f>
        <v>36.057629999999996</v>
      </c>
      <c r="E11" s="8">
        <f>E36/30/1000</f>
        <v>111.75128333333333</v>
      </c>
      <c r="F11">
        <v>1</v>
      </c>
      <c r="G11" s="29" t="s">
        <v>1625</v>
      </c>
      <c r="H11" s="30">
        <f t="shared" si="0"/>
        <v>865.9943333333333</v>
      </c>
      <c r="I11" s="30">
        <f t="shared" si="0"/>
        <v>1911.5586666666668</v>
      </c>
      <c r="J11" s="30">
        <f t="shared" si="0"/>
        <v>950.2389333333333</v>
      </c>
      <c r="K11" s="30">
        <f t="shared" si="0"/>
        <v>2024.2884</v>
      </c>
    </row>
    <row r="12" spans="1:11" ht="12">
      <c r="A12" t="s">
        <v>315</v>
      </c>
      <c r="B12" s="24">
        <f>B37</f>
        <v>281</v>
      </c>
      <c r="C12" s="24"/>
      <c r="D12" s="24">
        <f>D37</f>
        <v>133</v>
      </c>
      <c r="E12" s="24"/>
      <c r="G12" s="31" t="str">
        <f>A10</f>
        <v>N of obs</v>
      </c>
      <c r="H12" s="31">
        <f t="shared" si="0"/>
        <v>317</v>
      </c>
      <c r="I12" s="31">
        <f t="shared" si="0"/>
        <v>0</v>
      </c>
      <c r="J12" s="31">
        <f t="shared" si="0"/>
        <v>309</v>
      </c>
      <c r="K12" s="31">
        <f t="shared" si="0"/>
        <v>0</v>
      </c>
    </row>
    <row r="13" spans="1:11" ht="12">
      <c r="A13" t="s">
        <v>1618</v>
      </c>
      <c r="B13" s="8">
        <f>B38/30/1000</f>
        <v>25.763607</v>
      </c>
      <c r="C13" s="8">
        <f>C38/30/1000</f>
        <v>81.21631</v>
      </c>
      <c r="D13" s="8">
        <f>D38/30/1000</f>
        <v>34.99766666666667</v>
      </c>
      <c r="E13" s="8">
        <f>E38/30/1000</f>
        <v>97.93857333333334</v>
      </c>
      <c r="F13">
        <v>1</v>
      </c>
      <c r="G13" s="29" t="s">
        <v>1626</v>
      </c>
      <c r="H13" s="30">
        <f t="shared" si="0"/>
        <v>35.448926666666665</v>
      </c>
      <c r="I13" s="30">
        <f t="shared" si="0"/>
        <v>93.83429000000001</v>
      </c>
      <c r="J13" s="30">
        <f t="shared" si="0"/>
        <v>36.057629999999996</v>
      </c>
      <c r="K13" s="30">
        <f t="shared" si="0"/>
        <v>111.75128333333333</v>
      </c>
    </row>
    <row r="14" spans="1:11" ht="12">
      <c r="A14" t="s">
        <v>315</v>
      </c>
      <c r="B14" s="24">
        <f>B39</f>
        <v>325</v>
      </c>
      <c r="C14" s="24">
        <f>C39</f>
        <v>0</v>
      </c>
      <c r="D14" s="24">
        <f>D39</f>
        <v>315</v>
      </c>
      <c r="E14" s="24">
        <f>E39</f>
        <v>0</v>
      </c>
      <c r="G14" s="31" t="str">
        <f>A12</f>
        <v>N of obs</v>
      </c>
      <c r="H14" s="31">
        <f t="shared" si="0"/>
        <v>281</v>
      </c>
      <c r="I14" s="31">
        <f t="shared" si="0"/>
        <v>0</v>
      </c>
      <c r="J14" s="31">
        <f t="shared" si="0"/>
        <v>133</v>
      </c>
      <c r="K14" s="31">
        <f t="shared" si="0"/>
        <v>0</v>
      </c>
    </row>
    <row r="15" spans="1:11" ht="12">
      <c r="A15" t="s">
        <v>1615</v>
      </c>
      <c r="B15" s="8">
        <f>B40*100</f>
        <v>5.649185999999999</v>
      </c>
      <c r="C15" s="8">
        <f>C40*100</f>
        <v>9.562782</v>
      </c>
      <c r="D15" s="8">
        <f>D40*100</f>
        <v>4.784838000000001</v>
      </c>
      <c r="E15" s="8">
        <f>E40*100</f>
        <v>8.788020000000001</v>
      </c>
      <c r="F15">
        <v>1</v>
      </c>
      <c r="G15" s="29" t="s">
        <v>1627</v>
      </c>
      <c r="H15" s="30">
        <f t="shared" si="0"/>
        <v>25.763607</v>
      </c>
      <c r="I15" s="30">
        <f t="shared" si="0"/>
        <v>81.21631</v>
      </c>
      <c r="J15" s="30">
        <f t="shared" si="0"/>
        <v>34.99766666666667</v>
      </c>
      <c r="K15" s="30">
        <f t="shared" si="0"/>
        <v>97.93857333333334</v>
      </c>
    </row>
    <row r="16" spans="1:11" ht="12">
      <c r="A16" t="s">
        <v>315</v>
      </c>
      <c r="B16" s="24">
        <f>B41</f>
        <v>278</v>
      </c>
      <c r="C16" s="24">
        <f>C41</f>
        <v>0</v>
      </c>
      <c r="D16" s="24">
        <f>D41</f>
        <v>132</v>
      </c>
      <c r="E16" s="24">
        <f>E41</f>
        <v>0</v>
      </c>
      <c r="G16" s="31" t="str">
        <f>A14</f>
        <v>N of obs</v>
      </c>
      <c r="H16" s="31">
        <f t="shared" si="0"/>
        <v>325</v>
      </c>
      <c r="I16" s="31">
        <f t="shared" si="0"/>
        <v>0</v>
      </c>
      <c r="J16" s="31">
        <f t="shared" si="0"/>
        <v>315</v>
      </c>
      <c r="K16" s="31">
        <f t="shared" si="0"/>
        <v>0</v>
      </c>
    </row>
    <row r="17" spans="1:11" ht="12">
      <c r="A17" t="s">
        <v>1586</v>
      </c>
      <c r="B17" s="8">
        <f>B42*100</f>
        <v>6.43253</v>
      </c>
      <c r="C17" s="8">
        <f>C42*100</f>
        <v>9.406923</v>
      </c>
      <c r="D17" s="8">
        <f>D42*100</f>
        <v>6.550019</v>
      </c>
      <c r="E17" s="8">
        <f>E42*100</f>
        <v>10.050567000000001</v>
      </c>
      <c r="F17">
        <v>1</v>
      </c>
      <c r="G17" s="29" t="s">
        <v>1628</v>
      </c>
      <c r="H17" s="32">
        <f t="shared" si="0"/>
        <v>5.649185999999999</v>
      </c>
      <c r="I17" s="32">
        <f t="shared" si="0"/>
        <v>9.562782</v>
      </c>
      <c r="J17" s="32">
        <f t="shared" si="0"/>
        <v>4.784838000000001</v>
      </c>
      <c r="K17" s="32">
        <f t="shared" si="0"/>
        <v>8.788020000000001</v>
      </c>
    </row>
    <row r="18" spans="1:11" ht="12">
      <c r="A18" t="s">
        <v>315</v>
      </c>
      <c r="B18" s="24">
        <f>B43</f>
        <v>244</v>
      </c>
      <c r="C18" s="24">
        <f>C43</f>
        <v>0</v>
      </c>
      <c r="D18" s="24">
        <f>D43</f>
        <v>234</v>
      </c>
      <c r="E18" s="24">
        <f>E43</f>
        <v>0</v>
      </c>
      <c r="G18" s="31" t="s">
        <v>315</v>
      </c>
      <c r="H18" s="33">
        <f t="shared" si="0"/>
        <v>278</v>
      </c>
      <c r="I18" s="33">
        <f t="shared" si="0"/>
        <v>0</v>
      </c>
      <c r="J18" s="33">
        <f t="shared" si="0"/>
        <v>132</v>
      </c>
      <c r="K18" s="33">
        <f t="shared" si="0"/>
        <v>0</v>
      </c>
    </row>
    <row r="19" spans="1:11" ht="12">
      <c r="A19" t="s">
        <v>141</v>
      </c>
      <c r="B19" s="8">
        <f>B51*100</f>
        <v>26.213592000000002</v>
      </c>
      <c r="C19" s="8"/>
      <c r="D19" s="8">
        <f>D51*100</f>
        <v>28.082192</v>
      </c>
      <c r="E19" s="8"/>
      <c r="F19">
        <v>1</v>
      </c>
      <c r="G19" s="29" t="s">
        <v>1629</v>
      </c>
      <c r="H19" s="32">
        <f t="shared" si="0"/>
        <v>6.43253</v>
      </c>
      <c r="I19" s="32">
        <f t="shared" si="0"/>
        <v>9.406923</v>
      </c>
      <c r="J19" s="32">
        <f t="shared" si="0"/>
        <v>6.550019</v>
      </c>
      <c r="K19" s="32">
        <f t="shared" si="0"/>
        <v>10.050567000000001</v>
      </c>
    </row>
    <row r="20" spans="1:11" ht="12">
      <c r="A20" t="s">
        <v>142</v>
      </c>
      <c r="B20" s="8">
        <f>B52*100</f>
        <v>70.87378600000001</v>
      </c>
      <c r="C20" s="8"/>
      <c r="D20" s="8">
        <f>D52*100</f>
        <v>64.041096</v>
      </c>
      <c r="E20" s="8"/>
      <c r="G20" s="31" t="s">
        <v>315</v>
      </c>
      <c r="H20" s="33">
        <f t="shared" si="0"/>
        <v>244</v>
      </c>
      <c r="I20" s="33">
        <f t="shared" si="0"/>
        <v>0</v>
      </c>
      <c r="J20" s="33">
        <f t="shared" si="0"/>
        <v>234</v>
      </c>
      <c r="K20" s="33">
        <f t="shared" si="0"/>
        <v>0</v>
      </c>
    </row>
    <row r="21" spans="1:6" ht="12">
      <c r="A21" t="s">
        <v>1585</v>
      </c>
      <c r="F21">
        <v>1</v>
      </c>
    </row>
    <row r="22" spans="1:7" ht="12">
      <c r="A22" t="s">
        <v>1613</v>
      </c>
      <c r="B22" s="27">
        <f aca="true" t="shared" si="1" ref="B22:D25">B45</f>
        <v>0.75923091</v>
      </c>
      <c r="C22" s="27"/>
      <c r="D22" s="27">
        <f t="shared" si="1"/>
        <v>0.56002575</v>
      </c>
      <c r="E22" s="27"/>
      <c r="F22">
        <v>3</v>
      </c>
      <c r="G22" s="17">
        <f>EXP(0.5)</f>
        <v>1.6487212707001282</v>
      </c>
    </row>
    <row r="23" spans="1:4" ht="12">
      <c r="A23" t="s">
        <v>315</v>
      </c>
      <c r="B23">
        <f t="shared" si="1"/>
        <v>309</v>
      </c>
      <c r="D23">
        <f t="shared" si="1"/>
        <v>292</v>
      </c>
    </row>
    <row r="24" spans="1:6" ht="12">
      <c r="A24" t="s">
        <v>1682</v>
      </c>
      <c r="B24" s="27">
        <f t="shared" si="1"/>
        <v>0.87206954</v>
      </c>
      <c r="C24" s="27"/>
      <c r="D24" s="27">
        <f t="shared" si="1"/>
        <v>0.86824397</v>
      </c>
      <c r="E24" s="27"/>
      <c r="F24">
        <v>3</v>
      </c>
    </row>
    <row r="25" spans="1:4" ht="12">
      <c r="A25" t="s">
        <v>315</v>
      </c>
      <c r="B25">
        <f t="shared" si="1"/>
        <v>206</v>
      </c>
      <c r="D25">
        <f t="shared" si="1"/>
        <v>87</v>
      </c>
    </row>
    <row r="26" spans="1:11" ht="15">
      <c r="A26" t="s">
        <v>1614</v>
      </c>
      <c r="B26" s="27">
        <f>B49</f>
        <v>0.66004343</v>
      </c>
      <c r="C26" s="27"/>
      <c r="D26" s="27">
        <f>D49</f>
        <v>0.49057476</v>
      </c>
      <c r="F26">
        <v>3</v>
      </c>
      <c r="G26" s="28" t="s">
        <v>1631</v>
      </c>
      <c r="H26" s="29"/>
      <c r="I26" s="29"/>
      <c r="J26" s="29"/>
      <c r="K26" s="29"/>
    </row>
    <row r="27" spans="1:11" ht="12">
      <c r="A27" t="s">
        <v>315</v>
      </c>
      <c r="B27">
        <f>B50</f>
        <v>199</v>
      </c>
      <c r="D27">
        <f>D50</f>
        <v>85</v>
      </c>
      <c r="G27" s="29"/>
      <c r="H27" s="59" t="s">
        <v>1583</v>
      </c>
      <c r="I27" s="59"/>
      <c r="J27" s="59" t="s">
        <v>1584</v>
      </c>
      <c r="K27" s="59"/>
    </row>
    <row r="28" spans="7:11" ht="12">
      <c r="G28" s="29"/>
      <c r="H28" s="29">
        <v>2003</v>
      </c>
      <c r="I28" s="29">
        <v>2004</v>
      </c>
      <c r="J28" s="29">
        <v>2003</v>
      </c>
      <c r="K28" s="29">
        <v>2004</v>
      </c>
    </row>
    <row r="29" spans="6:11" ht="12">
      <c r="F29">
        <v>1</v>
      </c>
      <c r="G29" s="29"/>
      <c r="H29" s="29"/>
      <c r="I29" s="29"/>
      <c r="J29" s="29"/>
      <c r="K29" s="29"/>
    </row>
    <row r="30" spans="6:11" ht="12">
      <c r="F30">
        <v>1</v>
      </c>
      <c r="G30" s="29" t="s">
        <v>1585</v>
      </c>
      <c r="H30" s="29"/>
      <c r="I30" s="29"/>
      <c r="J30" s="29"/>
      <c r="K30" s="29"/>
    </row>
    <row r="31" spans="2:11" ht="12">
      <c r="B31" t="s">
        <v>1154</v>
      </c>
      <c r="C31" t="s">
        <v>1155</v>
      </c>
      <c r="D31" t="s">
        <v>1156</v>
      </c>
      <c r="E31" t="s">
        <v>1157</v>
      </c>
      <c r="F31">
        <v>1</v>
      </c>
      <c r="G31" s="3" t="s">
        <v>1632</v>
      </c>
      <c r="H31" s="30">
        <f>B22</f>
        <v>0.75923091</v>
      </c>
      <c r="I31" s="30">
        <f>C22</f>
        <v>0</v>
      </c>
      <c r="J31" s="30">
        <f>D22</f>
        <v>0.56002575</v>
      </c>
      <c r="K31" s="30">
        <f>E22</f>
        <v>0</v>
      </c>
    </row>
    <row r="32" spans="1:11" ht="12">
      <c r="A32" t="s">
        <v>1158</v>
      </c>
      <c r="B32">
        <v>24245523</v>
      </c>
      <c r="C32">
        <v>67886681</v>
      </c>
      <c r="D32">
        <v>22439930</v>
      </c>
      <c r="E32">
        <v>61552037</v>
      </c>
      <c r="G32" s="31" t="str">
        <f>A25</f>
        <v>N of obs</v>
      </c>
      <c r="H32" s="31">
        <f>B23</f>
        <v>309</v>
      </c>
      <c r="I32" s="31">
        <f aca="true" t="shared" si="2" ref="I32:K33">C23</f>
        <v>0</v>
      </c>
      <c r="J32" s="31">
        <f t="shared" si="2"/>
        <v>292</v>
      </c>
      <c r="K32" s="31">
        <f t="shared" si="2"/>
        <v>0</v>
      </c>
    </row>
    <row r="33" spans="1:11" ht="12">
      <c r="A33" t="s">
        <v>1159</v>
      </c>
      <c r="B33">
        <v>411</v>
      </c>
      <c r="C33">
        <v>0</v>
      </c>
      <c r="D33">
        <v>452</v>
      </c>
      <c r="E33">
        <v>0</v>
      </c>
      <c r="G33" s="29" t="s">
        <v>1633</v>
      </c>
      <c r="H33" s="30">
        <f>B24</f>
        <v>0.87206954</v>
      </c>
      <c r="I33" s="30">
        <f t="shared" si="2"/>
        <v>0</v>
      </c>
      <c r="J33" s="30">
        <f t="shared" si="2"/>
        <v>0.86824397</v>
      </c>
      <c r="K33" s="30">
        <f t="shared" si="2"/>
        <v>0</v>
      </c>
    </row>
    <row r="34" spans="1:11" ht="12">
      <c r="A34" t="s">
        <v>1160</v>
      </c>
      <c r="B34">
        <v>25979830</v>
      </c>
      <c r="C34">
        <v>57346760</v>
      </c>
      <c r="D34">
        <v>28507168</v>
      </c>
      <c r="E34">
        <v>60728652</v>
      </c>
      <c r="G34" s="31" t="s">
        <v>315</v>
      </c>
      <c r="H34" s="31">
        <f>B25</f>
        <v>206</v>
      </c>
      <c r="I34" s="31">
        <f>C25</f>
        <v>0</v>
      </c>
      <c r="J34" s="31">
        <f>D25</f>
        <v>87</v>
      </c>
      <c r="K34" s="31">
        <f>E25</f>
        <v>0</v>
      </c>
    </row>
    <row r="35" spans="1:11" ht="12">
      <c r="A35" t="s">
        <v>1161</v>
      </c>
      <c r="B35">
        <v>317</v>
      </c>
      <c r="C35">
        <v>0</v>
      </c>
      <c r="D35">
        <v>309</v>
      </c>
      <c r="E35">
        <v>0</v>
      </c>
      <c r="G35" s="31"/>
      <c r="H35" s="31"/>
      <c r="I35" s="31"/>
      <c r="J35" s="31"/>
      <c r="K35" s="31"/>
    </row>
    <row r="36" spans="1:11" ht="12">
      <c r="A36" t="s">
        <v>1162</v>
      </c>
      <c r="B36">
        <v>1063467.8</v>
      </c>
      <c r="C36">
        <v>2815028.7</v>
      </c>
      <c r="D36">
        <v>1081728.9</v>
      </c>
      <c r="E36">
        <v>3352538.5</v>
      </c>
      <c r="G36" s="29"/>
      <c r="H36" s="30"/>
      <c r="I36" s="30"/>
      <c r="J36" s="30"/>
      <c r="K36" s="30"/>
    </row>
    <row r="37" spans="1:11" ht="12">
      <c r="A37" t="s">
        <v>1163</v>
      </c>
      <c r="B37">
        <v>281</v>
      </c>
      <c r="C37">
        <v>0</v>
      </c>
      <c r="D37">
        <v>133</v>
      </c>
      <c r="E37">
        <v>0</v>
      </c>
      <c r="G37" s="31"/>
      <c r="H37" s="31"/>
      <c r="I37" s="31"/>
      <c r="J37" s="31"/>
      <c r="K37" s="31"/>
    </row>
    <row r="38" spans="1:11" ht="12">
      <c r="A38" t="s">
        <v>1164</v>
      </c>
      <c r="B38">
        <v>772908.21</v>
      </c>
      <c r="C38">
        <v>2436489.3</v>
      </c>
      <c r="D38">
        <v>1049930</v>
      </c>
      <c r="E38">
        <v>2938157.2</v>
      </c>
      <c r="G38" s="29"/>
      <c r="H38" s="30"/>
      <c r="I38" s="30"/>
      <c r="J38" s="30"/>
      <c r="K38" s="30"/>
    </row>
    <row r="39" spans="1:11" ht="12">
      <c r="A39" t="s">
        <v>1165</v>
      </c>
      <c r="B39">
        <v>325</v>
      </c>
      <c r="C39">
        <v>0</v>
      </c>
      <c r="D39">
        <v>315</v>
      </c>
      <c r="E39">
        <v>0</v>
      </c>
      <c r="G39" s="31"/>
      <c r="H39" s="31"/>
      <c r="I39" s="31"/>
      <c r="J39" s="31"/>
      <c r="K39" s="31"/>
    </row>
    <row r="40" spans="1:11" ht="12">
      <c r="A40" t="s">
        <v>1166</v>
      </c>
      <c r="B40">
        <v>0.05649186</v>
      </c>
      <c r="C40">
        <v>0.09562782</v>
      </c>
      <c r="D40">
        <v>0.04784838</v>
      </c>
      <c r="E40">
        <v>0.0878802</v>
      </c>
      <c r="G40" s="29"/>
      <c r="H40" s="32"/>
      <c r="I40" s="32"/>
      <c r="J40" s="32"/>
      <c r="K40" s="32"/>
    </row>
    <row r="41" spans="1:11" ht="12">
      <c r="A41" t="s">
        <v>1167</v>
      </c>
      <c r="B41">
        <v>278</v>
      </c>
      <c r="C41">
        <v>0</v>
      </c>
      <c r="D41">
        <v>132</v>
      </c>
      <c r="E41">
        <v>0</v>
      </c>
      <c r="G41" s="31"/>
      <c r="H41" s="33"/>
      <c r="I41" s="33"/>
      <c r="J41" s="33"/>
      <c r="K41" s="33"/>
    </row>
    <row r="42" spans="1:11" ht="12">
      <c r="A42" t="s">
        <v>1168</v>
      </c>
      <c r="B42">
        <v>0.0643253</v>
      </c>
      <c r="C42">
        <v>0.09406923</v>
      </c>
      <c r="D42">
        <v>0.06550019</v>
      </c>
      <c r="E42">
        <v>0.10050567</v>
      </c>
      <c r="G42" s="29"/>
      <c r="H42" s="32"/>
      <c r="I42" s="32"/>
      <c r="J42" s="32"/>
      <c r="K42" s="32"/>
    </row>
    <row r="43" spans="1:11" ht="12">
      <c r="A43" t="s">
        <v>1169</v>
      </c>
      <c r="B43">
        <v>244</v>
      </c>
      <c r="C43">
        <v>0</v>
      </c>
      <c r="D43">
        <v>234</v>
      </c>
      <c r="E43">
        <v>0</v>
      </c>
      <c r="G43" s="31"/>
      <c r="H43" s="33"/>
      <c r="I43" s="33"/>
      <c r="J43" s="33"/>
      <c r="K43" s="33"/>
    </row>
    <row r="44" spans="1:5" ht="12">
      <c r="A44" t="s">
        <v>1170</v>
      </c>
      <c r="B44">
        <v>0</v>
      </c>
      <c r="C44">
        <v>0</v>
      </c>
      <c r="D44">
        <v>0</v>
      </c>
      <c r="E44">
        <v>0</v>
      </c>
    </row>
    <row r="45" spans="1:5" ht="12">
      <c r="A45" t="s">
        <v>1171</v>
      </c>
      <c r="B45">
        <v>0.75923091</v>
      </c>
      <c r="C45">
        <v>0</v>
      </c>
      <c r="D45">
        <v>0.56002575</v>
      </c>
      <c r="E45">
        <v>0</v>
      </c>
    </row>
    <row r="46" spans="1:5" ht="12">
      <c r="A46" t="s">
        <v>1172</v>
      </c>
      <c r="B46">
        <v>309</v>
      </c>
      <c r="C46">
        <v>0</v>
      </c>
      <c r="D46">
        <v>292</v>
      </c>
      <c r="E46">
        <v>0</v>
      </c>
    </row>
    <row r="47" spans="1:5" ht="12">
      <c r="A47" t="s">
        <v>1173</v>
      </c>
      <c r="B47">
        <v>0.87206954</v>
      </c>
      <c r="C47">
        <v>0</v>
      </c>
      <c r="D47">
        <v>0.86824397</v>
      </c>
      <c r="E47">
        <v>0</v>
      </c>
    </row>
    <row r="48" spans="1:5" ht="12">
      <c r="A48" t="s">
        <v>1174</v>
      </c>
      <c r="B48">
        <v>206</v>
      </c>
      <c r="C48">
        <v>0</v>
      </c>
      <c r="D48">
        <v>87</v>
      </c>
      <c r="E48">
        <v>0</v>
      </c>
    </row>
    <row r="49" spans="1:5" ht="12">
      <c r="A49" t="s">
        <v>1175</v>
      </c>
      <c r="B49">
        <v>0.66004343</v>
      </c>
      <c r="C49">
        <v>0</v>
      </c>
      <c r="D49">
        <v>0.49057476</v>
      </c>
      <c r="E49">
        <v>0</v>
      </c>
    </row>
    <row r="50" spans="1:5" ht="12">
      <c r="A50" t="s">
        <v>1254</v>
      </c>
      <c r="B50">
        <v>199</v>
      </c>
      <c r="C50">
        <v>0</v>
      </c>
      <c r="D50">
        <v>85</v>
      </c>
      <c r="E50">
        <v>0</v>
      </c>
    </row>
    <row r="51" spans="1:5" ht="12">
      <c r="A51" t="s">
        <v>1582</v>
      </c>
      <c r="B51">
        <v>0.26213592</v>
      </c>
      <c r="C51">
        <v>0</v>
      </c>
      <c r="D51">
        <v>0.28082192</v>
      </c>
      <c r="E51">
        <v>0</v>
      </c>
    </row>
    <row r="52" spans="1:5" ht="12">
      <c r="A52" t="s">
        <v>1681</v>
      </c>
      <c r="B52">
        <v>0.70873786</v>
      </c>
      <c r="C52">
        <v>0</v>
      </c>
      <c r="D52">
        <v>0.64041096</v>
      </c>
      <c r="E52">
        <v>0</v>
      </c>
    </row>
    <row r="54" ht="12">
      <c r="A54" t="s">
        <v>1382</v>
      </c>
    </row>
    <row r="55" ht="12">
      <c r="A55" t="s">
        <v>1703</v>
      </c>
    </row>
    <row r="56" ht="12">
      <c r="A56" t="s">
        <v>1383</v>
      </c>
    </row>
    <row r="57" ht="12">
      <c r="A57" t="s">
        <v>1384</v>
      </c>
    </row>
    <row r="58" ht="12">
      <c r="A58" t="s">
        <v>1706</v>
      </c>
    </row>
    <row r="59" ht="12">
      <c r="A59" t="s">
        <v>1396</v>
      </c>
    </row>
    <row r="60" ht="12">
      <c r="A60" t="s">
        <v>1397</v>
      </c>
    </row>
    <row r="61" ht="12">
      <c r="A61" t="s">
        <v>1385</v>
      </c>
    </row>
    <row r="62" ht="12">
      <c r="A62" t="s">
        <v>1398</v>
      </c>
    </row>
    <row r="63" ht="12">
      <c r="A63" t="s">
        <v>1399</v>
      </c>
    </row>
    <row r="64" ht="12">
      <c r="A64" t="s">
        <v>1386</v>
      </c>
    </row>
    <row r="65" ht="12">
      <c r="A65" t="s">
        <v>1400</v>
      </c>
    </row>
    <row r="66" ht="12">
      <c r="A66" t="s">
        <v>1401</v>
      </c>
    </row>
    <row r="67" ht="12">
      <c r="A67" t="s">
        <v>1387</v>
      </c>
    </row>
    <row r="68" ht="12">
      <c r="A68" t="s">
        <v>1402</v>
      </c>
    </row>
    <row r="69" ht="12">
      <c r="A69" t="s">
        <v>1403</v>
      </c>
    </row>
    <row r="70" ht="12">
      <c r="A70" t="s">
        <v>1388</v>
      </c>
    </row>
    <row r="71" ht="12">
      <c r="A71" t="s">
        <v>1404</v>
      </c>
    </row>
    <row r="72" ht="12">
      <c r="A72" t="s">
        <v>1405</v>
      </c>
    </row>
    <row r="73" ht="12">
      <c r="A73" t="s">
        <v>1389</v>
      </c>
    </row>
    <row r="74" ht="12">
      <c r="A74" t="s">
        <v>1406</v>
      </c>
    </row>
    <row r="75" ht="12">
      <c r="A75" t="s">
        <v>1407</v>
      </c>
    </row>
    <row r="76" ht="12">
      <c r="A76" t="s">
        <v>1390</v>
      </c>
    </row>
    <row r="77" ht="12">
      <c r="A77" t="s">
        <v>1408</v>
      </c>
    </row>
    <row r="78" ht="12">
      <c r="A78" t="s">
        <v>1395</v>
      </c>
    </row>
    <row r="79" ht="12">
      <c r="A79" t="s">
        <v>1391</v>
      </c>
    </row>
    <row r="80" ht="12">
      <c r="A80" t="s">
        <v>1409</v>
      </c>
    </row>
    <row r="81" ht="12">
      <c r="A81" t="s">
        <v>1392</v>
      </c>
    </row>
    <row r="82" ht="12">
      <c r="A82" t="s">
        <v>1410</v>
      </c>
    </row>
    <row r="83" ht="12">
      <c r="A83" t="s">
        <v>1393</v>
      </c>
    </row>
    <row r="84" ht="12">
      <c r="A84" t="s">
        <v>1411</v>
      </c>
    </row>
    <row r="85" ht="12">
      <c r="A85" t="s">
        <v>1394</v>
      </c>
    </row>
    <row r="86" ht="12">
      <c r="A86" t="s">
        <v>1706</v>
      </c>
    </row>
    <row r="87" ht="12">
      <c r="A87" t="s">
        <v>66</v>
      </c>
    </row>
    <row r="88" ht="12">
      <c r="A88" t="s">
        <v>67</v>
      </c>
    </row>
  </sheetData>
  <mergeCells count="4">
    <mergeCell ref="H6:I6"/>
    <mergeCell ref="J6:K6"/>
    <mergeCell ref="H27:I27"/>
    <mergeCell ref="J27:K27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"/>
  <dimension ref="A1:O83"/>
  <sheetViews>
    <sheetView workbookViewId="0" topLeftCell="A1">
      <selection activeCell="C23" sqref="C23"/>
    </sheetView>
  </sheetViews>
  <sheetFormatPr defaultColWidth="9.00390625" defaultRowHeight="12.75"/>
  <cols>
    <col min="1" max="1" width="30.875" style="0" customWidth="1"/>
    <col min="2" max="2" width="10.50390625" style="0" customWidth="1"/>
    <col min="3" max="3" width="11.125" style="0" customWidth="1"/>
    <col min="4" max="4" width="13.625" style="0" customWidth="1"/>
    <col min="5" max="5" width="11.875" style="0" customWidth="1"/>
    <col min="6" max="6" width="11.00390625" style="0" customWidth="1"/>
    <col min="7" max="7" width="10.875" style="0" customWidth="1"/>
    <col min="9" max="9" width="13.125" style="0" customWidth="1"/>
    <col min="10" max="10" width="7.125" style="0" customWidth="1"/>
    <col min="11" max="11" width="10.125" style="0" customWidth="1"/>
    <col min="12" max="12" width="10.375" style="0" customWidth="1"/>
    <col min="13" max="13" width="10.50390625" style="0" customWidth="1"/>
    <col min="14" max="14" width="6.625" style="0" customWidth="1"/>
    <col min="15" max="15" width="6.125" style="0" customWidth="1"/>
  </cols>
  <sheetData>
    <row r="1" spans="1:4" ht="12">
      <c r="A1" t="s">
        <v>1698</v>
      </c>
      <c r="B1">
        <v>3</v>
      </c>
      <c r="C1" t="s">
        <v>1699</v>
      </c>
      <c r="D1">
        <v>4</v>
      </c>
    </row>
    <row r="2" spans="1:2" ht="12">
      <c r="A2" t="s">
        <v>1700</v>
      </c>
      <c r="B2">
        <v>20</v>
      </c>
    </row>
    <row r="3" spans="1:2" ht="12">
      <c r="A3" t="s">
        <v>1701</v>
      </c>
      <c r="B3">
        <v>0</v>
      </c>
    </row>
    <row r="5" spans="1:15" ht="12">
      <c r="A5" t="s">
        <v>143</v>
      </c>
      <c r="I5" s="37" t="s">
        <v>1646</v>
      </c>
      <c r="J5" s="29"/>
      <c r="K5" s="29"/>
      <c r="L5" s="29"/>
      <c r="M5" s="29"/>
      <c r="N5" s="29"/>
      <c r="O5" s="29"/>
    </row>
    <row r="6" spans="2:15" ht="24.75">
      <c r="B6" s="1" t="s">
        <v>1621</v>
      </c>
      <c r="C6" s="1" t="s">
        <v>115</v>
      </c>
      <c r="D6" s="1" t="s">
        <v>116</v>
      </c>
      <c r="E6" s="1" t="s">
        <v>116</v>
      </c>
      <c r="I6" s="19"/>
      <c r="J6" s="39"/>
      <c r="K6" s="39"/>
      <c r="L6" s="39"/>
      <c r="M6" s="39"/>
      <c r="N6" s="39"/>
      <c r="O6" s="39"/>
    </row>
    <row r="7" spans="2:15" ht="12">
      <c r="B7" s="1" t="s">
        <v>114</v>
      </c>
      <c r="C7" s="1" t="s">
        <v>114</v>
      </c>
      <c r="D7" s="1" t="s">
        <v>114</v>
      </c>
      <c r="E7" s="1" t="s">
        <v>117</v>
      </c>
      <c r="I7" s="19"/>
      <c r="J7" s="39"/>
      <c r="K7" s="39"/>
      <c r="L7" s="39"/>
      <c r="M7" s="39"/>
      <c r="N7" s="39"/>
      <c r="O7" s="39"/>
    </row>
    <row r="8" spans="1:15" ht="24.75">
      <c r="A8" t="s">
        <v>1176</v>
      </c>
      <c r="B8" s="14" t="s">
        <v>668</v>
      </c>
      <c r="C8" s="14" t="s">
        <v>669</v>
      </c>
      <c r="D8" s="14" t="s">
        <v>1264</v>
      </c>
      <c r="E8" s="14" t="s">
        <v>1265</v>
      </c>
      <c r="F8" s="14"/>
      <c r="G8" s="14"/>
      <c r="I8" s="19"/>
      <c r="J8" s="42" t="str">
        <f>B6</f>
        <v>All (RAS)</v>
      </c>
      <c r="K8" s="42" t="str">
        <f>C6</f>
        <v>RAS only </v>
      </c>
      <c r="L8" s="42" t="str">
        <f>D6</f>
        <v>GAAP/IAS only </v>
      </c>
      <c r="M8" s="42" t="str">
        <f>E6</f>
        <v>GAAP/IAS only </v>
      </c>
      <c r="N8" s="19"/>
      <c r="O8" s="19"/>
    </row>
    <row r="9" spans="1:15" ht="12">
      <c r="A9" s="18" t="s">
        <v>320</v>
      </c>
      <c r="B9" s="20">
        <f aca="true" t="shared" si="0" ref="B9:C11">B31/30/10^6</f>
        <v>1779.6666666666667</v>
      </c>
      <c r="C9" s="20">
        <f t="shared" si="0"/>
        <v>550.6666666666666</v>
      </c>
      <c r="D9" s="20">
        <f aca="true" t="shared" si="1" ref="D9:E11">D31/30/10^6</f>
        <v>5063.333333333333</v>
      </c>
      <c r="E9" s="20">
        <f t="shared" si="1"/>
        <v>6713.333333333333</v>
      </c>
      <c r="F9" s="20">
        <v>0</v>
      </c>
      <c r="G9" s="20"/>
      <c r="I9" s="19" t="s">
        <v>1634</v>
      </c>
      <c r="J9" s="43">
        <f aca="true" t="shared" si="2" ref="J9:K11">B9</f>
        <v>1779.6666666666667</v>
      </c>
      <c r="K9" s="43">
        <f t="shared" si="2"/>
        <v>550.6666666666666</v>
      </c>
      <c r="L9" s="43">
        <f aca="true" t="shared" si="3" ref="L9:M11">D9</f>
        <v>5063.333333333333</v>
      </c>
      <c r="M9" s="43">
        <f t="shared" si="3"/>
        <v>6713.333333333333</v>
      </c>
      <c r="N9" s="35"/>
      <c r="O9" s="35"/>
    </row>
    <row r="10" spans="1:15" ht="12">
      <c r="A10" s="18" t="s">
        <v>321</v>
      </c>
      <c r="B10" s="20">
        <f t="shared" si="0"/>
        <v>885.3333333333334</v>
      </c>
      <c r="C10" s="20">
        <f t="shared" si="0"/>
        <v>307.3666666666667</v>
      </c>
      <c r="D10" s="20">
        <f t="shared" si="1"/>
        <v>2421.6666666666665</v>
      </c>
      <c r="E10" s="20">
        <f t="shared" si="1"/>
        <v>3880</v>
      </c>
      <c r="F10" s="20">
        <v>0</v>
      </c>
      <c r="G10" s="20"/>
      <c r="I10" s="19" t="s">
        <v>1635</v>
      </c>
      <c r="J10" s="43">
        <f t="shared" si="2"/>
        <v>885.3333333333334</v>
      </c>
      <c r="K10" s="43">
        <f t="shared" si="2"/>
        <v>307.3666666666667</v>
      </c>
      <c r="L10" s="43">
        <f t="shared" si="3"/>
        <v>2421.6666666666665</v>
      </c>
      <c r="M10" s="43">
        <f t="shared" si="3"/>
        <v>3880</v>
      </c>
      <c r="N10" s="35"/>
      <c r="O10" s="35"/>
    </row>
    <row r="11" spans="1:15" ht="12">
      <c r="A11" t="s">
        <v>322</v>
      </c>
      <c r="B11" s="20">
        <f t="shared" si="0"/>
        <v>187.66666666666666</v>
      </c>
      <c r="C11" s="20">
        <f t="shared" si="0"/>
        <v>62.233333333333334</v>
      </c>
      <c r="D11" s="20">
        <f t="shared" si="1"/>
        <v>519.6666666666667</v>
      </c>
      <c r="E11" s="20">
        <f t="shared" si="1"/>
        <v>810.3333333333334</v>
      </c>
      <c r="F11" s="20">
        <v>1</v>
      </c>
      <c r="G11" s="20"/>
      <c r="I11" s="19" t="s">
        <v>1636</v>
      </c>
      <c r="J11" s="43">
        <f t="shared" si="2"/>
        <v>187.66666666666666</v>
      </c>
      <c r="K11" s="43">
        <f t="shared" si="2"/>
        <v>62.233333333333334</v>
      </c>
      <c r="L11" s="43">
        <f t="shared" si="3"/>
        <v>519.6666666666667</v>
      </c>
      <c r="M11" s="43">
        <f t="shared" si="3"/>
        <v>810.3333333333334</v>
      </c>
      <c r="N11" s="35"/>
      <c r="O11" s="35"/>
    </row>
    <row r="12" spans="1:15" ht="12">
      <c r="A12" t="s">
        <v>330</v>
      </c>
      <c r="B12" s="17">
        <f aca="true" t="shared" si="4" ref="B12:E13">B34*100</f>
        <v>21.820232</v>
      </c>
      <c r="C12" s="17">
        <f t="shared" si="4"/>
        <v>21.903119</v>
      </c>
      <c r="D12" s="17">
        <f t="shared" si="4"/>
        <v>22.953563</v>
      </c>
      <c r="E12" s="17">
        <f t="shared" si="4"/>
        <v>19.169668</v>
      </c>
      <c r="F12" s="17">
        <v>2</v>
      </c>
      <c r="G12" s="17"/>
      <c r="I12" s="19" t="s">
        <v>1647</v>
      </c>
      <c r="J12" s="44">
        <f>B13/100</f>
        <v>0.12429237</v>
      </c>
      <c r="K12" s="44">
        <f>C13/100</f>
        <v>0.08730703999999999</v>
      </c>
      <c r="L12" s="44">
        <f>D13/100</f>
        <v>0.20375625</v>
      </c>
      <c r="M12" s="44">
        <f>E13/100</f>
        <v>0.1617491</v>
      </c>
      <c r="N12" s="36"/>
      <c r="O12" s="36"/>
    </row>
    <row r="13" spans="1:15" ht="12">
      <c r="A13" t="s">
        <v>331</v>
      </c>
      <c r="B13" s="17">
        <f t="shared" si="4"/>
        <v>12.429237</v>
      </c>
      <c r="C13" s="17">
        <f t="shared" si="4"/>
        <v>8.730704</v>
      </c>
      <c r="D13" s="17">
        <f t="shared" si="4"/>
        <v>20.375625</v>
      </c>
      <c r="E13" s="17">
        <f t="shared" si="4"/>
        <v>16.17491</v>
      </c>
      <c r="F13" s="17">
        <v>2</v>
      </c>
      <c r="G13" s="17"/>
      <c r="I13" s="19" t="s">
        <v>315</v>
      </c>
      <c r="J13" s="40">
        <f>B28</f>
        <v>180</v>
      </c>
      <c r="K13" s="40">
        <f>C28</f>
        <v>137</v>
      </c>
      <c r="L13" s="40">
        <f>D28</f>
        <v>49</v>
      </c>
      <c r="M13" s="40">
        <f>E28</f>
        <v>49</v>
      </c>
      <c r="N13" s="36"/>
      <c r="O13" s="36"/>
    </row>
    <row r="14" spans="1:15" ht="12">
      <c r="A14" s="18" t="s">
        <v>323</v>
      </c>
      <c r="B14" s="17">
        <f aca="true" t="shared" si="5" ref="B14:C16">B36*100</f>
        <v>18.557828</v>
      </c>
      <c r="C14" s="17">
        <f t="shared" si="5"/>
        <v>20.330418</v>
      </c>
      <c r="D14" s="17">
        <f aca="true" t="shared" si="6" ref="D14:E16">D36*100</f>
        <v>16.148778</v>
      </c>
      <c r="E14" s="17">
        <f t="shared" si="6"/>
        <v>12.190383</v>
      </c>
      <c r="F14" s="17">
        <v>2</v>
      </c>
      <c r="G14" s="17"/>
      <c r="I14" s="19"/>
      <c r="J14" s="41" t="s">
        <v>1610</v>
      </c>
      <c r="K14" s="41" t="s">
        <v>1638</v>
      </c>
      <c r="L14" s="41" t="s">
        <v>1655</v>
      </c>
      <c r="M14" s="41"/>
      <c r="N14" s="36"/>
      <c r="O14" s="36"/>
    </row>
    <row r="15" spans="1:15" ht="12">
      <c r="A15" s="18" t="s">
        <v>324</v>
      </c>
      <c r="B15" s="17">
        <f t="shared" si="5"/>
        <v>1.6567950000000002</v>
      </c>
      <c r="C15" s="17">
        <f t="shared" si="5"/>
        <v>1.748238</v>
      </c>
      <c r="D15" s="17">
        <f t="shared" si="6"/>
        <v>1.405501</v>
      </c>
      <c r="E15" s="17">
        <f t="shared" si="6"/>
        <v>0.8454079999999999</v>
      </c>
      <c r="F15" s="17">
        <v>2</v>
      </c>
      <c r="G15" s="17"/>
      <c r="I15" s="19" t="s">
        <v>1649</v>
      </c>
      <c r="J15" s="45">
        <f>B17/100</f>
        <v>0.11271322</v>
      </c>
      <c r="K15" s="45">
        <f aca="true" t="shared" si="7" ref="K15:K25">C17/100</f>
        <v>0.09128232</v>
      </c>
      <c r="L15" s="45">
        <f aca="true" t="shared" si="8" ref="L15:L25">D17/100</f>
        <v>0.16655655</v>
      </c>
      <c r="M15" s="36"/>
      <c r="N15" s="36"/>
      <c r="O15" s="36"/>
    </row>
    <row r="16" spans="1:15" ht="12">
      <c r="A16" s="18" t="s">
        <v>325</v>
      </c>
      <c r="B16" s="17">
        <f t="shared" si="5"/>
        <v>2.828629</v>
      </c>
      <c r="C16" s="17">
        <f t="shared" si="5"/>
        <v>2.806181</v>
      </c>
      <c r="D16" s="17">
        <f t="shared" si="6"/>
        <v>2.7917750000000003</v>
      </c>
      <c r="E16" s="17">
        <f t="shared" si="6"/>
        <v>1.14765</v>
      </c>
      <c r="F16" s="17">
        <v>2</v>
      </c>
      <c r="G16" s="17"/>
      <c r="I16" s="19" t="s">
        <v>1515</v>
      </c>
      <c r="J16" s="45">
        <f aca="true" t="shared" si="9" ref="J16:J25">B18/100</f>
        <v>0.24581006</v>
      </c>
      <c r="K16" s="45">
        <f t="shared" si="7"/>
        <v>0.20220588</v>
      </c>
      <c r="L16" s="45">
        <f t="shared" si="8"/>
        <v>0.35714286</v>
      </c>
      <c r="M16" s="17"/>
      <c r="N16" s="17"/>
      <c r="O16" s="17"/>
    </row>
    <row r="17" spans="1:15" ht="12">
      <c r="A17" s="19" t="s">
        <v>316</v>
      </c>
      <c r="B17" s="17">
        <f aca="true" t="shared" si="10" ref="B17:D18">B39*100</f>
        <v>11.271322</v>
      </c>
      <c r="C17" s="17">
        <f t="shared" si="10"/>
        <v>9.128232</v>
      </c>
      <c r="D17" s="17">
        <f t="shared" si="10"/>
        <v>16.655655</v>
      </c>
      <c r="E17" s="17"/>
      <c r="F17" s="17">
        <v>2</v>
      </c>
      <c r="G17" s="17"/>
      <c r="I17" s="19" t="s">
        <v>1637</v>
      </c>
      <c r="J17" s="45">
        <f t="shared" si="9"/>
        <v>0.032266467</v>
      </c>
      <c r="K17" s="45">
        <f t="shared" si="7"/>
        <v>0.022511051</v>
      </c>
      <c r="L17" s="45">
        <f t="shared" si="8"/>
        <v>0.066554082</v>
      </c>
      <c r="M17" s="17"/>
      <c r="N17" s="17"/>
      <c r="O17" s="17"/>
    </row>
    <row r="18" spans="1:15" ht="12">
      <c r="A18" s="19" t="s">
        <v>317</v>
      </c>
      <c r="B18" s="17">
        <f t="shared" si="10"/>
        <v>24.581006</v>
      </c>
      <c r="C18" s="17">
        <f t="shared" si="10"/>
        <v>20.220588</v>
      </c>
      <c r="D18" s="17">
        <f t="shared" si="10"/>
        <v>35.714286</v>
      </c>
      <c r="E18" s="17"/>
      <c r="F18" s="17">
        <v>2</v>
      </c>
      <c r="G18" s="17"/>
      <c r="I18" s="19" t="s">
        <v>332</v>
      </c>
      <c r="J18" s="45">
        <f t="shared" si="9"/>
        <v>0.014409331000000001</v>
      </c>
      <c r="K18" s="45">
        <f t="shared" si="7"/>
        <v>0.013316379</v>
      </c>
      <c r="L18" s="45">
        <f t="shared" si="8"/>
        <v>0.024362154</v>
      </c>
      <c r="M18" s="17"/>
      <c r="N18" s="17"/>
      <c r="O18" s="17"/>
    </row>
    <row r="19" spans="1:15" ht="12">
      <c r="A19" s="19" t="s">
        <v>1575</v>
      </c>
      <c r="B19" s="17">
        <f aca="true" t="shared" si="11" ref="B19:D20">B41</f>
        <v>3.2266467</v>
      </c>
      <c r="C19" s="17">
        <f t="shared" si="11"/>
        <v>2.2511051</v>
      </c>
      <c r="D19" s="17">
        <f t="shared" si="11"/>
        <v>6.6554082</v>
      </c>
      <c r="E19" s="17"/>
      <c r="F19" s="17">
        <v>2</v>
      </c>
      <c r="G19" s="17"/>
      <c r="I19" s="19" t="s">
        <v>318</v>
      </c>
      <c r="J19" s="45">
        <f t="shared" si="9"/>
        <v>0.79444444</v>
      </c>
      <c r="K19" s="45">
        <f t="shared" si="7"/>
        <v>0.78832117</v>
      </c>
      <c r="L19" s="45">
        <f t="shared" si="8"/>
        <v>0.81632653</v>
      </c>
      <c r="M19" s="17"/>
      <c r="N19" s="17"/>
      <c r="O19" s="17"/>
    </row>
    <row r="20" spans="1:15" ht="12">
      <c r="A20" s="19" t="s">
        <v>332</v>
      </c>
      <c r="B20" s="17">
        <f t="shared" si="11"/>
        <v>1.4409331</v>
      </c>
      <c r="C20" s="17">
        <f t="shared" si="11"/>
        <v>1.3316379</v>
      </c>
      <c r="D20" s="17">
        <f t="shared" si="11"/>
        <v>2.4362154</v>
      </c>
      <c r="E20" s="17"/>
      <c r="F20" s="17">
        <v>2</v>
      </c>
      <c r="G20" s="17"/>
      <c r="I20" s="19" t="s">
        <v>1650</v>
      </c>
      <c r="J20" s="45">
        <f t="shared" si="9"/>
        <v>0.18055556</v>
      </c>
      <c r="K20" s="45">
        <f t="shared" si="7"/>
        <v>0.11313869</v>
      </c>
      <c r="L20" s="45">
        <f t="shared" si="8"/>
        <v>0.41836735</v>
      </c>
      <c r="M20" s="17"/>
      <c r="N20" s="17"/>
      <c r="O20" s="17"/>
    </row>
    <row r="21" spans="1:15" ht="12">
      <c r="A21" s="19" t="s">
        <v>318</v>
      </c>
      <c r="B21" s="17">
        <f aca="true" t="shared" si="12" ref="B21:C27">B43*100</f>
        <v>79.444444</v>
      </c>
      <c r="C21" s="17">
        <f t="shared" si="12"/>
        <v>78.832117</v>
      </c>
      <c r="D21" s="17">
        <f aca="true" t="shared" si="13" ref="D21:D27">D43*100</f>
        <v>81.632653</v>
      </c>
      <c r="E21" s="17"/>
      <c r="F21" s="17">
        <v>2</v>
      </c>
      <c r="G21" s="17"/>
      <c r="I21" s="19" t="s">
        <v>326</v>
      </c>
      <c r="J21" s="45">
        <f t="shared" si="9"/>
        <v>0.13611111</v>
      </c>
      <c r="K21" s="45">
        <f t="shared" si="7"/>
        <v>0.02919708</v>
      </c>
      <c r="L21" s="45">
        <f t="shared" si="8"/>
        <v>0.44897959</v>
      </c>
      <c r="M21" s="17"/>
      <c r="N21" s="17"/>
      <c r="O21" s="17"/>
    </row>
    <row r="22" spans="1:15" ht="12">
      <c r="A22" s="19" t="s">
        <v>319</v>
      </c>
      <c r="B22" s="17">
        <f t="shared" si="12"/>
        <v>18.055556</v>
      </c>
      <c r="C22" s="17">
        <f t="shared" si="12"/>
        <v>11.313869</v>
      </c>
      <c r="D22" s="17">
        <f t="shared" si="13"/>
        <v>41.836735000000004</v>
      </c>
      <c r="E22" s="17"/>
      <c r="F22" s="17">
        <v>2</v>
      </c>
      <c r="G22" s="17"/>
      <c r="I22" s="19" t="s">
        <v>1516</v>
      </c>
      <c r="J22" s="45">
        <f t="shared" si="9"/>
        <v>0.61388889</v>
      </c>
      <c r="K22" s="45">
        <f t="shared" si="7"/>
        <v>0.56569343</v>
      </c>
      <c r="L22" s="45">
        <f t="shared" si="8"/>
        <v>0.7755102</v>
      </c>
      <c r="M22" s="17"/>
      <c r="N22" s="17"/>
      <c r="O22" s="17"/>
    </row>
    <row r="23" spans="1:15" ht="12">
      <c r="A23" s="19" t="s">
        <v>326</v>
      </c>
      <c r="B23" s="17">
        <f t="shared" si="12"/>
        <v>13.611111000000001</v>
      </c>
      <c r="C23" s="17">
        <f t="shared" si="12"/>
        <v>2.919708</v>
      </c>
      <c r="D23" s="17">
        <f t="shared" si="13"/>
        <v>44.897959</v>
      </c>
      <c r="E23" s="17"/>
      <c r="F23" s="17">
        <v>2</v>
      </c>
      <c r="G23" s="17"/>
      <c r="I23" s="19" t="s">
        <v>328</v>
      </c>
      <c r="J23" s="45">
        <f t="shared" si="9"/>
        <v>0.10555556</v>
      </c>
      <c r="K23" s="45">
        <f t="shared" si="7"/>
        <v>0.04379562</v>
      </c>
      <c r="L23" s="45">
        <f t="shared" si="8"/>
        <v>0.31632653</v>
      </c>
      <c r="M23" s="17"/>
      <c r="N23" s="17"/>
      <c r="O23" s="17"/>
    </row>
    <row r="24" spans="1:15" ht="12">
      <c r="A24" s="19" t="s">
        <v>327</v>
      </c>
      <c r="B24" s="17">
        <f t="shared" si="12"/>
        <v>61.388889</v>
      </c>
      <c r="C24" s="17">
        <f t="shared" si="12"/>
        <v>56.569343</v>
      </c>
      <c r="D24" s="17">
        <f t="shared" si="13"/>
        <v>77.55102000000001</v>
      </c>
      <c r="E24" s="17"/>
      <c r="F24" s="17">
        <v>2</v>
      </c>
      <c r="G24" s="17"/>
      <c r="I24" s="19" t="s">
        <v>329</v>
      </c>
      <c r="J24" s="45">
        <f t="shared" si="9"/>
        <v>0.21666667</v>
      </c>
      <c r="K24" s="45">
        <f t="shared" si="7"/>
        <v>0.1350365</v>
      </c>
      <c r="L24" s="45">
        <f t="shared" si="8"/>
        <v>0.44897959</v>
      </c>
      <c r="M24" s="17"/>
      <c r="N24" s="17"/>
      <c r="O24" s="17"/>
    </row>
    <row r="25" spans="1:15" ht="12">
      <c r="A25" s="19" t="s">
        <v>328</v>
      </c>
      <c r="B25" s="17">
        <f t="shared" si="12"/>
        <v>10.555556000000001</v>
      </c>
      <c r="C25" s="17">
        <f t="shared" si="12"/>
        <v>4.379562</v>
      </c>
      <c r="D25" s="17">
        <f t="shared" si="13"/>
        <v>31.632652999999998</v>
      </c>
      <c r="E25" s="17"/>
      <c r="F25" s="17">
        <v>2</v>
      </c>
      <c r="G25" s="17"/>
      <c r="I25" s="19" t="s">
        <v>1651</v>
      </c>
      <c r="J25" s="45">
        <f t="shared" si="9"/>
        <v>0.69444444</v>
      </c>
      <c r="K25" s="45">
        <f t="shared" si="7"/>
        <v>0.63138686</v>
      </c>
      <c r="L25" s="45">
        <f t="shared" si="8"/>
        <v>0.90816327</v>
      </c>
      <c r="M25" s="17"/>
      <c r="N25" s="17"/>
      <c r="O25" s="17"/>
    </row>
    <row r="26" spans="1:15" ht="12">
      <c r="A26" s="19" t="s">
        <v>329</v>
      </c>
      <c r="B26" s="17">
        <f t="shared" si="12"/>
        <v>21.666667</v>
      </c>
      <c r="C26" s="17">
        <f t="shared" si="12"/>
        <v>13.50365</v>
      </c>
      <c r="D26" s="17">
        <f t="shared" si="13"/>
        <v>44.897959</v>
      </c>
      <c r="E26" s="17"/>
      <c r="F26" s="17">
        <v>2</v>
      </c>
      <c r="G26" s="17"/>
      <c r="I26" t="s">
        <v>315</v>
      </c>
      <c r="J26" s="40">
        <f>B28</f>
        <v>180</v>
      </c>
      <c r="K26" s="40">
        <f>C28</f>
        <v>137</v>
      </c>
      <c r="L26" s="40">
        <f>D28</f>
        <v>49</v>
      </c>
      <c r="M26" s="17"/>
      <c r="N26" s="17"/>
      <c r="O26" s="17"/>
    </row>
    <row r="27" spans="1:7" ht="12">
      <c r="A27" s="19" t="s">
        <v>1620</v>
      </c>
      <c r="B27" s="17">
        <f t="shared" si="12"/>
        <v>69.444444</v>
      </c>
      <c r="C27" s="17">
        <f t="shared" si="12"/>
        <v>63.138686</v>
      </c>
      <c r="D27" s="17">
        <f t="shared" si="13"/>
        <v>90.816327</v>
      </c>
      <c r="E27" s="17"/>
      <c r="F27" s="17">
        <v>2</v>
      </c>
      <c r="G27" s="17"/>
    </row>
    <row r="28" spans="1:12" ht="12">
      <c r="A28" t="s">
        <v>315</v>
      </c>
      <c r="B28">
        <f>B50</f>
        <v>180</v>
      </c>
      <c r="C28">
        <f>C50</f>
        <v>137</v>
      </c>
      <c r="D28">
        <f>D50</f>
        <v>49</v>
      </c>
      <c r="E28">
        <f>E50</f>
        <v>49</v>
      </c>
      <c r="I28" s="38" t="s">
        <v>1631</v>
      </c>
      <c r="J28" s="19"/>
      <c r="K28" s="19"/>
      <c r="L28" s="19"/>
    </row>
    <row r="29" spans="2:15" ht="12">
      <c r="B29" s="20"/>
      <c r="C29" s="17"/>
      <c r="I29" s="19"/>
      <c r="J29" s="39"/>
      <c r="K29" s="39"/>
      <c r="L29" s="34"/>
      <c r="M29" s="19"/>
      <c r="N29" s="19"/>
      <c r="O29" s="19"/>
    </row>
    <row r="30" spans="2:15" ht="24.75">
      <c r="B30" t="s">
        <v>1154</v>
      </c>
      <c r="C30" t="s">
        <v>1155</v>
      </c>
      <c r="D30" t="s">
        <v>1156</v>
      </c>
      <c r="E30" t="s">
        <v>1157</v>
      </c>
      <c r="I30" s="19"/>
      <c r="J30" s="42" t="s">
        <v>1621</v>
      </c>
      <c r="K30" s="42" t="s">
        <v>1652</v>
      </c>
      <c r="L30" s="42" t="s">
        <v>1653</v>
      </c>
      <c r="M30" s="42" t="s">
        <v>1654</v>
      </c>
      <c r="N30" s="39"/>
      <c r="O30" s="39"/>
    </row>
    <row r="31" spans="1:15" ht="12">
      <c r="A31" t="s">
        <v>1158</v>
      </c>
      <c r="B31" s="11">
        <v>53390000000</v>
      </c>
      <c r="C31" s="11">
        <v>16520000000</v>
      </c>
      <c r="D31" s="11">
        <v>151900000000</v>
      </c>
      <c r="E31" s="11">
        <v>201400000000</v>
      </c>
      <c r="F31" s="11"/>
      <c r="G31" s="11"/>
      <c r="I31" s="19" t="s">
        <v>1664</v>
      </c>
      <c r="J31" s="48">
        <f aca="true" t="shared" si="14" ref="J31:M33">B14/100</f>
        <v>0.18557828</v>
      </c>
      <c r="K31" s="48">
        <f t="shared" si="14"/>
        <v>0.20330418000000003</v>
      </c>
      <c r="L31" s="48">
        <f t="shared" si="14"/>
        <v>0.16148778</v>
      </c>
      <c r="M31" s="48">
        <f t="shared" si="14"/>
        <v>0.12190383</v>
      </c>
      <c r="N31" s="19"/>
      <c r="O31" s="19"/>
    </row>
    <row r="32" spans="1:15" ht="12">
      <c r="A32" t="s">
        <v>1159</v>
      </c>
      <c r="B32" s="11">
        <v>26560000000</v>
      </c>
      <c r="C32" s="11">
        <v>9221000000</v>
      </c>
      <c r="D32" s="11">
        <v>72650000000</v>
      </c>
      <c r="E32" s="11">
        <v>116400000000</v>
      </c>
      <c r="F32" s="11"/>
      <c r="G32" s="11"/>
      <c r="I32" s="19" t="s">
        <v>1665</v>
      </c>
      <c r="J32" s="48">
        <f t="shared" si="14"/>
        <v>0.01656795</v>
      </c>
      <c r="K32" s="48">
        <f t="shared" si="14"/>
        <v>0.01748238</v>
      </c>
      <c r="L32" s="48">
        <f t="shared" si="14"/>
        <v>0.01405501</v>
      </c>
      <c r="M32" s="48">
        <f t="shared" si="14"/>
        <v>0.00845408</v>
      </c>
      <c r="N32" s="36"/>
      <c r="O32" s="36"/>
    </row>
    <row r="33" spans="1:15" ht="12">
      <c r="A33" t="s">
        <v>1160</v>
      </c>
      <c r="B33" s="11">
        <v>5630000000</v>
      </c>
      <c r="C33" s="11">
        <v>1867000000</v>
      </c>
      <c r="D33" s="11">
        <v>15590000000</v>
      </c>
      <c r="E33" s="11">
        <v>24310000000</v>
      </c>
      <c r="F33" s="11"/>
      <c r="G33" s="11"/>
      <c r="I33" s="19" t="s">
        <v>1666</v>
      </c>
      <c r="J33" s="48">
        <f t="shared" si="14"/>
        <v>0.02828629</v>
      </c>
      <c r="K33" s="48">
        <f t="shared" si="14"/>
        <v>0.02806181</v>
      </c>
      <c r="L33" s="48">
        <f t="shared" si="14"/>
        <v>0.027917750000000005</v>
      </c>
      <c r="M33" s="48">
        <f t="shared" si="14"/>
        <v>0.0114765</v>
      </c>
      <c r="N33" s="36"/>
      <c r="O33" s="36"/>
    </row>
    <row r="34" spans="1:15" ht="12">
      <c r="A34" t="s">
        <v>1161</v>
      </c>
      <c r="B34">
        <v>0.21820232</v>
      </c>
      <c r="C34">
        <v>0.21903119</v>
      </c>
      <c r="D34">
        <v>0.22953563</v>
      </c>
      <c r="E34">
        <v>0.19169668</v>
      </c>
      <c r="I34" s="19" t="s">
        <v>315</v>
      </c>
      <c r="J34" s="19">
        <f>B28</f>
        <v>180</v>
      </c>
      <c r="K34" s="19">
        <f>C28</f>
        <v>137</v>
      </c>
      <c r="L34" s="19">
        <f>D28</f>
        <v>49</v>
      </c>
      <c r="M34" s="19">
        <f>E28</f>
        <v>49</v>
      </c>
      <c r="N34" s="36"/>
      <c r="O34" s="36"/>
    </row>
    <row r="35" spans="1:15" ht="12">
      <c r="A35" t="s">
        <v>1162</v>
      </c>
      <c r="B35">
        <v>0.12429237</v>
      </c>
      <c r="C35">
        <v>0.08730704</v>
      </c>
      <c r="D35">
        <v>0.20375625</v>
      </c>
      <c r="E35">
        <v>0.1617491</v>
      </c>
      <c r="M35" s="19"/>
      <c r="N35" s="19"/>
      <c r="O35" s="19"/>
    </row>
    <row r="36" spans="1:5" ht="12">
      <c r="A36" t="s">
        <v>1163</v>
      </c>
      <c r="B36">
        <v>0.18557828</v>
      </c>
      <c r="C36">
        <v>0.20330418</v>
      </c>
      <c r="D36">
        <v>0.16148778</v>
      </c>
      <c r="E36">
        <v>0.12190383</v>
      </c>
    </row>
    <row r="37" spans="1:5" ht="12">
      <c r="A37" t="s">
        <v>1164</v>
      </c>
      <c r="B37">
        <v>0.01656795</v>
      </c>
      <c r="C37">
        <v>0.01748238</v>
      </c>
      <c r="D37">
        <v>0.01405501</v>
      </c>
      <c r="E37">
        <v>0.00845408</v>
      </c>
    </row>
    <row r="38" spans="1:5" ht="12">
      <c r="A38" t="s">
        <v>1165</v>
      </c>
      <c r="B38">
        <v>0.02828629</v>
      </c>
      <c r="C38">
        <v>0.02806181</v>
      </c>
      <c r="D38">
        <v>0.02791775</v>
      </c>
      <c r="E38">
        <v>0.0114765</v>
      </c>
    </row>
    <row r="39" spans="1:5" ht="12">
      <c r="A39" t="s">
        <v>1166</v>
      </c>
      <c r="B39">
        <v>0.11271322</v>
      </c>
      <c r="C39">
        <v>0.09128232</v>
      </c>
      <c r="D39">
        <v>0.16655655</v>
      </c>
      <c r="E39">
        <v>0</v>
      </c>
    </row>
    <row r="40" spans="1:5" ht="12">
      <c r="A40" t="s">
        <v>1167</v>
      </c>
      <c r="B40">
        <v>0.24581006</v>
      </c>
      <c r="C40">
        <v>0.20220588</v>
      </c>
      <c r="D40">
        <v>0.35714286</v>
      </c>
      <c r="E40">
        <v>0</v>
      </c>
    </row>
    <row r="41" spans="1:5" ht="12">
      <c r="A41" t="s">
        <v>1168</v>
      </c>
      <c r="B41">
        <v>3.2266467</v>
      </c>
      <c r="C41">
        <v>2.2511051</v>
      </c>
      <c r="D41">
        <v>6.6554082</v>
      </c>
      <c r="E41">
        <v>0</v>
      </c>
    </row>
    <row r="42" spans="1:5" ht="12">
      <c r="A42" t="s">
        <v>1169</v>
      </c>
      <c r="B42">
        <v>1.4409331</v>
      </c>
      <c r="C42">
        <v>1.3316379</v>
      </c>
      <c r="D42">
        <v>2.4362154</v>
      </c>
      <c r="E42">
        <v>0</v>
      </c>
    </row>
    <row r="43" spans="1:5" ht="12">
      <c r="A43" t="s">
        <v>1170</v>
      </c>
      <c r="B43">
        <v>0.79444444</v>
      </c>
      <c r="C43">
        <v>0.78832117</v>
      </c>
      <c r="D43">
        <v>0.81632653</v>
      </c>
      <c r="E43">
        <v>0</v>
      </c>
    </row>
    <row r="44" spans="1:5" ht="12">
      <c r="A44" t="s">
        <v>1171</v>
      </c>
      <c r="B44">
        <v>0.18055556</v>
      </c>
      <c r="C44">
        <v>0.11313869</v>
      </c>
      <c r="D44">
        <v>0.41836735</v>
      </c>
      <c r="E44">
        <v>0</v>
      </c>
    </row>
    <row r="45" spans="1:5" ht="12">
      <c r="A45" t="s">
        <v>1172</v>
      </c>
      <c r="B45">
        <v>0.13611111</v>
      </c>
      <c r="C45">
        <v>0.02919708</v>
      </c>
      <c r="D45">
        <v>0.44897959</v>
      </c>
      <c r="E45">
        <v>0</v>
      </c>
    </row>
    <row r="46" spans="1:5" ht="12">
      <c r="A46" t="s">
        <v>1173</v>
      </c>
      <c r="B46">
        <v>0.61388889</v>
      </c>
      <c r="C46">
        <v>0.56569343</v>
      </c>
      <c r="D46">
        <v>0.7755102</v>
      </c>
      <c r="E46">
        <v>0</v>
      </c>
    </row>
    <row r="47" spans="1:5" ht="12">
      <c r="A47" t="s">
        <v>1174</v>
      </c>
      <c r="B47">
        <v>0.10555556</v>
      </c>
      <c r="C47">
        <v>0.04379562</v>
      </c>
      <c r="D47">
        <v>0.31632653</v>
      </c>
      <c r="E47">
        <v>0</v>
      </c>
    </row>
    <row r="48" spans="1:5" ht="12">
      <c r="A48" t="s">
        <v>1175</v>
      </c>
      <c r="B48">
        <v>0.21666667</v>
      </c>
      <c r="C48">
        <v>0.1350365</v>
      </c>
      <c r="D48">
        <v>0.44897959</v>
      </c>
      <c r="E48">
        <v>0</v>
      </c>
    </row>
    <row r="49" spans="1:5" ht="12">
      <c r="A49" t="s">
        <v>1254</v>
      </c>
      <c r="B49">
        <v>0.69444444</v>
      </c>
      <c r="C49">
        <v>0.63138686</v>
      </c>
      <c r="D49">
        <v>0.90816327</v>
      </c>
      <c r="E49">
        <v>0</v>
      </c>
    </row>
    <row r="50" spans="1:5" ht="12">
      <c r="A50" t="s">
        <v>1582</v>
      </c>
      <c r="B50">
        <v>180</v>
      </c>
      <c r="C50">
        <v>137</v>
      </c>
      <c r="D50">
        <v>49</v>
      </c>
      <c r="E50">
        <v>49</v>
      </c>
    </row>
    <row r="55" ht="12">
      <c r="A55" t="s">
        <v>90</v>
      </c>
    </row>
    <row r="56" ht="12">
      <c r="A56" t="s">
        <v>1703</v>
      </c>
    </row>
    <row r="57" ht="12">
      <c r="A57" t="s">
        <v>118</v>
      </c>
    </row>
    <row r="58" ht="12">
      <c r="A58" t="s">
        <v>119</v>
      </c>
    </row>
    <row r="59" ht="12">
      <c r="A59" t="s">
        <v>120</v>
      </c>
    </row>
    <row r="60" ht="12">
      <c r="A60" t="s">
        <v>1706</v>
      </c>
    </row>
    <row r="61" ht="12">
      <c r="A61" t="s">
        <v>121</v>
      </c>
    </row>
    <row r="62" ht="12">
      <c r="A62" t="s">
        <v>122</v>
      </c>
    </row>
    <row r="63" ht="12">
      <c r="A63" t="s">
        <v>123</v>
      </c>
    </row>
    <row r="64" ht="12">
      <c r="A64" t="s">
        <v>124</v>
      </c>
    </row>
    <row r="65" ht="12">
      <c r="A65" t="s">
        <v>125</v>
      </c>
    </row>
    <row r="66" ht="12">
      <c r="A66" t="s">
        <v>126</v>
      </c>
    </row>
    <row r="67" ht="12">
      <c r="A67" t="s">
        <v>127</v>
      </c>
    </row>
    <row r="68" ht="12">
      <c r="A68" t="s">
        <v>128</v>
      </c>
    </row>
    <row r="69" ht="12">
      <c r="A69" t="s">
        <v>129</v>
      </c>
    </row>
    <row r="70" ht="12">
      <c r="A70" t="s">
        <v>130</v>
      </c>
    </row>
    <row r="71" ht="12">
      <c r="A71" t="s">
        <v>131</v>
      </c>
    </row>
    <row r="72" ht="12">
      <c r="A72" t="s">
        <v>132</v>
      </c>
    </row>
    <row r="73" ht="12">
      <c r="A73" t="s">
        <v>133</v>
      </c>
    </row>
    <row r="74" ht="12">
      <c r="A74" t="s">
        <v>134</v>
      </c>
    </row>
    <row r="75" ht="12">
      <c r="A75" t="s">
        <v>135</v>
      </c>
    </row>
    <row r="76" ht="12">
      <c r="A76" t="s">
        <v>136</v>
      </c>
    </row>
    <row r="77" ht="12">
      <c r="A77" t="s">
        <v>137</v>
      </c>
    </row>
    <row r="78" ht="12">
      <c r="A78" t="s">
        <v>138</v>
      </c>
    </row>
    <row r="79" ht="12">
      <c r="A79" t="s">
        <v>139</v>
      </c>
    </row>
    <row r="80" ht="12">
      <c r="A80" t="s">
        <v>140</v>
      </c>
    </row>
    <row r="81" ht="12">
      <c r="A81" t="s">
        <v>1706</v>
      </c>
    </row>
    <row r="82" ht="12">
      <c r="A82" t="s">
        <v>66</v>
      </c>
    </row>
    <row r="83" ht="12">
      <c r="A83" t="s">
        <v>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"/>
  <dimension ref="A1:M78"/>
  <sheetViews>
    <sheetView workbookViewId="0" topLeftCell="A1">
      <selection activeCell="G23" sqref="G23"/>
    </sheetView>
  </sheetViews>
  <sheetFormatPr defaultColWidth="9.00390625" defaultRowHeight="12.75"/>
  <cols>
    <col min="1" max="1" width="12.50390625" style="0" customWidth="1"/>
  </cols>
  <sheetData>
    <row r="1" spans="1:4" ht="12">
      <c r="A1" t="s">
        <v>1698</v>
      </c>
      <c r="B1">
        <v>3</v>
      </c>
      <c r="C1" t="s">
        <v>1699</v>
      </c>
      <c r="D1">
        <v>6</v>
      </c>
    </row>
    <row r="2" spans="1:2" ht="12">
      <c r="A2" t="s">
        <v>1700</v>
      </c>
      <c r="B2">
        <v>3</v>
      </c>
    </row>
    <row r="3" spans="1:2" ht="12">
      <c r="A3" t="s">
        <v>1701</v>
      </c>
      <c r="B3">
        <v>9</v>
      </c>
    </row>
    <row r="5" ht="12">
      <c r="A5" t="s">
        <v>150</v>
      </c>
    </row>
    <row r="6" ht="12">
      <c r="A6" t="s">
        <v>1581</v>
      </c>
    </row>
    <row r="7" spans="2:13" ht="12">
      <c r="B7" s="23" t="s">
        <v>1531</v>
      </c>
      <c r="C7" s="23"/>
      <c r="D7" s="23"/>
      <c r="E7" s="23"/>
      <c r="F7" s="23"/>
      <c r="G7" s="23"/>
      <c r="H7" s="23" t="s">
        <v>1532</v>
      </c>
      <c r="I7" s="23"/>
      <c r="J7" s="23"/>
      <c r="K7" s="23"/>
      <c r="L7" s="23"/>
      <c r="M7" s="23"/>
    </row>
    <row r="8" spans="2:13" ht="12">
      <c r="B8" s="14" t="s">
        <v>668</v>
      </c>
      <c r="C8" s="14" t="s">
        <v>1524</v>
      </c>
      <c r="D8" s="14" t="s">
        <v>669</v>
      </c>
      <c r="E8" s="14" t="s">
        <v>1524</v>
      </c>
      <c r="F8" s="14" t="s">
        <v>1264</v>
      </c>
      <c r="G8" s="14" t="s">
        <v>1524</v>
      </c>
      <c r="H8" s="14" t="s">
        <v>1265</v>
      </c>
      <c r="I8" s="14" t="s">
        <v>1524</v>
      </c>
      <c r="J8" s="14" t="s">
        <v>1365</v>
      </c>
      <c r="K8" s="14" t="s">
        <v>1524</v>
      </c>
      <c r="L8" s="14" t="s">
        <v>1366</v>
      </c>
      <c r="M8" s="14" t="s">
        <v>1524</v>
      </c>
    </row>
    <row r="9" spans="1:9" ht="12">
      <c r="A9" t="s">
        <v>1691</v>
      </c>
      <c r="B9">
        <f>B23</f>
        <v>0.02610503</v>
      </c>
      <c r="C9">
        <f>C23</f>
        <v>2.2516112</v>
      </c>
      <c r="H9">
        <f>H23</f>
        <v>-0.00314951</v>
      </c>
      <c r="I9">
        <f>B38</f>
        <v>-0.29899855</v>
      </c>
    </row>
    <row r="10" spans="1:11" ht="12">
      <c r="A10" t="s">
        <v>1530</v>
      </c>
      <c r="D10">
        <f>D24</f>
        <v>0.21657804</v>
      </c>
      <c r="E10">
        <f>E24</f>
        <v>2.7175969</v>
      </c>
      <c r="J10">
        <f>C39</f>
        <v>0.10405579</v>
      </c>
      <c r="K10">
        <f>D39</f>
        <v>1.2864339</v>
      </c>
    </row>
    <row r="11" spans="1:13" ht="12">
      <c r="A11" t="s">
        <v>1368</v>
      </c>
      <c r="F11">
        <f>F25</f>
        <v>0.14926522</v>
      </c>
      <c r="G11">
        <f>G25</f>
        <v>2.0813715</v>
      </c>
      <c r="L11">
        <f>E40</f>
        <v>0.04688757</v>
      </c>
      <c r="M11">
        <f>F40</f>
        <v>0.72649999</v>
      </c>
    </row>
    <row r="12" ht="12">
      <c r="A12" t="s">
        <v>1521</v>
      </c>
    </row>
    <row r="13" spans="1:12" ht="12">
      <c r="A13" t="s">
        <v>1579</v>
      </c>
      <c r="B13" t="str">
        <f>IF(B27=1,"Y","N")</f>
        <v>Y</v>
      </c>
      <c r="D13" t="str">
        <f>IF(D27=1,"Y","N")</f>
        <v>Y</v>
      </c>
      <c r="F13" t="str">
        <f>IF(F27=1,"Y","N")</f>
        <v>Y</v>
      </c>
      <c r="H13" t="str">
        <f>IF(H27=1,"Y","N")</f>
        <v>Y</v>
      </c>
      <c r="J13" t="str">
        <f>IF(D27=1,"Y","N")</f>
        <v>Y</v>
      </c>
      <c r="L13" t="str">
        <f>IF(F27=1,"Y","N")</f>
        <v>Y</v>
      </c>
    </row>
    <row r="14" spans="1:12" ht="12">
      <c r="A14" t="s">
        <v>1370</v>
      </c>
      <c r="B14" t="str">
        <f>IF(B29=1,"Y","N")</f>
        <v>Y</v>
      </c>
      <c r="D14" t="str">
        <f>IF(D29=1,"Y","N")</f>
        <v>Y</v>
      </c>
      <c r="F14" t="str">
        <f>IF(F29=1,"Y","N")</f>
        <v>Y</v>
      </c>
      <c r="H14" t="str">
        <f>IF(H29=1,"Y","N")</f>
        <v>Y</v>
      </c>
      <c r="J14" t="str">
        <f>IF(D29=1,"Y","N")</f>
        <v>Y</v>
      </c>
      <c r="L14" t="str">
        <f>IF(F29=1,"Y","N")</f>
        <v>Y</v>
      </c>
    </row>
    <row r="15" ht="12">
      <c r="A15" t="s">
        <v>1371</v>
      </c>
    </row>
    <row r="16" spans="1:12" ht="12">
      <c r="A16" t="s">
        <v>1372</v>
      </c>
      <c r="B16">
        <f>B31</f>
        <v>0.07952589</v>
      </c>
      <c r="D16">
        <f>D31</f>
        <v>0.05658135</v>
      </c>
      <c r="F16">
        <f>F31</f>
        <v>0.05928593</v>
      </c>
      <c r="H16">
        <f>H31</f>
        <v>0.01652374</v>
      </c>
      <c r="J16">
        <f>C46</f>
        <v>0.01621391</v>
      </c>
      <c r="L16">
        <f>E46</f>
        <v>0.00647352</v>
      </c>
    </row>
    <row r="17" spans="1:12" ht="12">
      <c r="A17" t="s">
        <v>1373</v>
      </c>
      <c r="B17">
        <f aca="true" t="shared" si="0" ref="B17:H20">B32</f>
        <v>0.11969641</v>
      </c>
      <c r="D17">
        <f t="shared" si="0"/>
        <v>0.1206038</v>
      </c>
      <c r="F17">
        <f t="shared" si="0"/>
        <v>0.11843027</v>
      </c>
      <c r="H17">
        <f t="shared" si="0"/>
        <v>0.0940102</v>
      </c>
      <c r="J17">
        <f>C47</f>
        <v>0.09777481</v>
      </c>
      <c r="L17">
        <f>E47</f>
        <v>0.09535653</v>
      </c>
    </row>
    <row r="18" spans="1:12" ht="12">
      <c r="A18" t="s">
        <v>1374</v>
      </c>
      <c r="B18">
        <f t="shared" si="0"/>
        <v>0.11414662</v>
      </c>
      <c r="D18">
        <f t="shared" si="0"/>
        <v>0.1146942</v>
      </c>
      <c r="F18">
        <f t="shared" si="0"/>
        <v>0.11183338</v>
      </c>
      <c r="H18">
        <f t="shared" si="0"/>
        <v>0.08040515</v>
      </c>
      <c r="J18">
        <f>C48</f>
        <v>0.08303748</v>
      </c>
      <c r="L18">
        <f>E48</f>
        <v>0.079861</v>
      </c>
    </row>
    <row r="19" spans="1:12" ht="12">
      <c r="A19" t="s">
        <v>1375</v>
      </c>
      <c r="B19">
        <f t="shared" si="0"/>
        <v>3927</v>
      </c>
      <c r="D19">
        <f t="shared" si="0"/>
        <v>3862</v>
      </c>
      <c r="F19">
        <f t="shared" si="0"/>
        <v>3770</v>
      </c>
      <c r="H19">
        <f t="shared" si="0"/>
        <v>4537</v>
      </c>
      <c r="J19">
        <f>C49</f>
        <v>4357</v>
      </c>
      <c r="L19">
        <f>E49</f>
        <v>4059</v>
      </c>
    </row>
    <row r="20" spans="1:12" ht="12">
      <c r="A20" t="s">
        <v>1376</v>
      </c>
      <c r="B20">
        <f t="shared" si="0"/>
        <v>2282</v>
      </c>
      <c r="D20">
        <f t="shared" si="0"/>
        <v>2266</v>
      </c>
      <c r="F20">
        <f t="shared" si="0"/>
        <v>2232</v>
      </c>
      <c r="H20">
        <f t="shared" si="0"/>
        <v>2658</v>
      </c>
      <c r="J20">
        <f>C50</f>
        <v>2596</v>
      </c>
      <c r="L20">
        <f>E50</f>
        <v>2465</v>
      </c>
    </row>
    <row r="22" spans="2:8" ht="12">
      <c r="B22" t="s">
        <v>1154</v>
      </c>
      <c r="C22" t="s">
        <v>1155</v>
      </c>
      <c r="D22" t="s">
        <v>1156</v>
      </c>
      <c r="E22" t="s">
        <v>1157</v>
      </c>
      <c r="F22" t="s">
        <v>1377</v>
      </c>
      <c r="G22" t="s">
        <v>1378</v>
      </c>
      <c r="H22" t="s">
        <v>1379</v>
      </c>
    </row>
    <row r="23" spans="1:8" ht="12">
      <c r="A23" t="s">
        <v>1158</v>
      </c>
      <c r="B23">
        <v>0.02610503</v>
      </c>
      <c r="C23">
        <v>2.2516112</v>
      </c>
      <c r="D23">
        <v>0</v>
      </c>
      <c r="E23">
        <v>0</v>
      </c>
      <c r="F23">
        <v>0</v>
      </c>
      <c r="G23">
        <v>0</v>
      </c>
      <c r="H23">
        <v>-0.00314951</v>
      </c>
    </row>
    <row r="24" spans="1:8" ht="12">
      <c r="A24" t="s">
        <v>1159</v>
      </c>
      <c r="B24">
        <v>0</v>
      </c>
      <c r="C24">
        <v>0</v>
      </c>
      <c r="D24">
        <v>0.21657804</v>
      </c>
      <c r="E24">
        <v>2.7175969</v>
      </c>
      <c r="F24">
        <v>0</v>
      </c>
      <c r="G24">
        <v>0</v>
      </c>
      <c r="H24">
        <v>0</v>
      </c>
    </row>
    <row r="25" spans="1:8" ht="12">
      <c r="A25" t="s">
        <v>1160</v>
      </c>
      <c r="B25">
        <v>0</v>
      </c>
      <c r="C25">
        <v>0</v>
      </c>
      <c r="D25">
        <v>0</v>
      </c>
      <c r="E25">
        <v>0</v>
      </c>
      <c r="F25">
        <v>0.14926522</v>
      </c>
      <c r="G25">
        <v>2.0813715</v>
      </c>
      <c r="H25">
        <v>0</v>
      </c>
    </row>
    <row r="26" spans="1:8" ht="12">
      <c r="A26" t="s">
        <v>1161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</row>
    <row r="27" spans="1:8" ht="12">
      <c r="A27" t="s">
        <v>1162</v>
      </c>
      <c r="B27">
        <v>1</v>
      </c>
      <c r="C27">
        <v>0</v>
      </c>
      <c r="D27">
        <v>1</v>
      </c>
      <c r="E27">
        <v>0</v>
      </c>
      <c r="F27">
        <v>1</v>
      </c>
      <c r="G27">
        <v>0</v>
      </c>
      <c r="H27">
        <v>1</v>
      </c>
    </row>
    <row r="28" spans="1:8" ht="12">
      <c r="A28" t="s">
        <v>1163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</row>
    <row r="29" spans="1:8" ht="12">
      <c r="A29" t="s">
        <v>1164</v>
      </c>
      <c r="B29">
        <v>1</v>
      </c>
      <c r="C29">
        <v>0</v>
      </c>
      <c r="D29">
        <v>1</v>
      </c>
      <c r="E29">
        <v>0</v>
      </c>
      <c r="F29">
        <v>1</v>
      </c>
      <c r="G29">
        <v>0</v>
      </c>
      <c r="H29">
        <v>1</v>
      </c>
    </row>
    <row r="30" spans="1:8" ht="12">
      <c r="A30" t="s">
        <v>1165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</row>
    <row r="31" spans="1:8" ht="12">
      <c r="A31" t="s">
        <v>1166</v>
      </c>
      <c r="B31">
        <v>0.07952589</v>
      </c>
      <c r="C31">
        <v>0</v>
      </c>
      <c r="D31">
        <v>0.05658135</v>
      </c>
      <c r="E31">
        <v>0</v>
      </c>
      <c r="F31">
        <v>0.05928593</v>
      </c>
      <c r="G31">
        <v>0</v>
      </c>
      <c r="H31">
        <v>0.01652374</v>
      </c>
    </row>
    <row r="32" spans="1:8" ht="12">
      <c r="A32" t="s">
        <v>1167</v>
      </c>
      <c r="B32">
        <v>0.11969641</v>
      </c>
      <c r="C32">
        <v>0</v>
      </c>
      <c r="D32">
        <v>0.1206038</v>
      </c>
      <c r="E32">
        <v>0</v>
      </c>
      <c r="F32">
        <v>0.11843027</v>
      </c>
      <c r="G32">
        <v>0</v>
      </c>
      <c r="H32">
        <v>0.0940102</v>
      </c>
    </row>
    <row r="33" spans="1:8" ht="12">
      <c r="A33" t="s">
        <v>1168</v>
      </c>
      <c r="B33">
        <v>0.11414662</v>
      </c>
      <c r="C33">
        <v>0</v>
      </c>
      <c r="D33">
        <v>0.1146942</v>
      </c>
      <c r="E33">
        <v>0</v>
      </c>
      <c r="F33">
        <v>0.11183338</v>
      </c>
      <c r="G33">
        <v>0</v>
      </c>
      <c r="H33">
        <v>0.08040515</v>
      </c>
    </row>
    <row r="34" spans="1:8" ht="12">
      <c r="A34" t="s">
        <v>1169</v>
      </c>
      <c r="B34">
        <v>3927</v>
      </c>
      <c r="C34">
        <v>0</v>
      </c>
      <c r="D34">
        <v>3862</v>
      </c>
      <c r="E34">
        <v>0</v>
      </c>
      <c r="F34">
        <v>3770</v>
      </c>
      <c r="G34">
        <v>0</v>
      </c>
      <c r="H34">
        <v>4537</v>
      </c>
    </row>
    <row r="35" spans="1:8" ht="12">
      <c r="A35" t="s">
        <v>1170</v>
      </c>
      <c r="B35">
        <v>2282</v>
      </c>
      <c r="C35">
        <v>0</v>
      </c>
      <c r="D35">
        <v>2266</v>
      </c>
      <c r="E35">
        <v>0</v>
      </c>
      <c r="F35">
        <v>2232</v>
      </c>
      <c r="G35">
        <v>0</v>
      </c>
      <c r="H35">
        <v>2658</v>
      </c>
    </row>
    <row r="37" spans="2:6" ht="12">
      <c r="B37" t="s">
        <v>1380</v>
      </c>
      <c r="C37" t="s">
        <v>1517</v>
      </c>
      <c r="D37" t="s">
        <v>1518</v>
      </c>
      <c r="E37" t="s">
        <v>1519</v>
      </c>
      <c r="F37" t="s">
        <v>1520</v>
      </c>
    </row>
    <row r="38" spans="1:6" ht="12">
      <c r="A38" t="s">
        <v>1158</v>
      </c>
      <c r="B38">
        <v>-0.29899855</v>
      </c>
      <c r="C38">
        <v>0</v>
      </c>
      <c r="D38">
        <v>0</v>
      </c>
      <c r="E38">
        <v>0</v>
      </c>
      <c r="F38">
        <v>0</v>
      </c>
    </row>
    <row r="39" spans="1:6" ht="12">
      <c r="A39" t="s">
        <v>1159</v>
      </c>
      <c r="B39">
        <v>0</v>
      </c>
      <c r="C39">
        <v>0.10405579</v>
      </c>
      <c r="D39">
        <v>1.2864339</v>
      </c>
      <c r="E39">
        <v>0</v>
      </c>
      <c r="F39">
        <v>0</v>
      </c>
    </row>
    <row r="40" spans="1:6" ht="12">
      <c r="A40" t="s">
        <v>1160</v>
      </c>
      <c r="B40">
        <v>0</v>
      </c>
      <c r="C40">
        <v>0</v>
      </c>
      <c r="D40">
        <v>0</v>
      </c>
      <c r="E40">
        <v>0.04688757</v>
      </c>
      <c r="F40">
        <v>0.72649999</v>
      </c>
    </row>
    <row r="41" spans="1:6" ht="12">
      <c r="A41" t="s">
        <v>1161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ht="12">
      <c r="A42" t="s">
        <v>1162</v>
      </c>
      <c r="B42">
        <v>0</v>
      </c>
      <c r="C42">
        <v>1</v>
      </c>
      <c r="D42">
        <v>0</v>
      </c>
      <c r="E42">
        <v>1</v>
      </c>
      <c r="F42">
        <v>0</v>
      </c>
    </row>
    <row r="43" spans="1:6" ht="12">
      <c r="A43" t="s">
        <v>1163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ht="12">
      <c r="A44" t="s">
        <v>1164</v>
      </c>
      <c r="B44">
        <v>0</v>
      </c>
      <c r="C44">
        <v>1</v>
      </c>
      <c r="D44">
        <v>0</v>
      </c>
      <c r="E44">
        <v>1</v>
      </c>
      <c r="F44">
        <v>0</v>
      </c>
    </row>
    <row r="45" spans="1:6" ht="12">
      <c r="A45" t="s">
        <v>1165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ht="12">
      <c r="A46" t="s">
        <v>1166</v>
      </c>
      <c r="B46">
        <v>0</v>
      </c>
      <c r="C46">
        <v>0.01621391</v>
      </c>
      <c r="D46">
        <v>0</v>
      </c>
      <c r="E46">
        <v>0.00647352</v>
      </c>
      <c r="F46">
        <v>0</v>
      </c>
    </row>
    <row r="47" spans="1:6" ht="12">
      <c r="A47" t="s">
        <v>1167</v>
      </c>
      <c r="B47">
        <v>0</v>
      </c>
      <c r="C47">
        <v>0.09777481</v>
      </c>
      <c r="D47">
        <v>0</v>
      </c>
      <c r="E47">
        <v>0.09535653</v>
      </c>
      <c r="F47">
        <v>0</v>
      </c>
    </row>
    <row r="48" spans="1:6" ht="12">
      <c r="A48" t="s">
        <v>1168</v>
      </c>
      <c r="B48">
        <v>0</v>
      </c>
      <c r="C48">
        <v>0.08303748</v>
      </c>
      <c r="D48">
        <v>0</v>
      </c>
      <c r="E48">
        <v>0.079861</v>
      </c>
      <c r="F48">
        <v>0</v>
      </c>
    </row>
    <row r="49" spans="1:6" ht="12">
      <c r="A49" t="s">
        <v>1169</v>
      </c>
      <c r="B49">
        <v>0</v>
      </c>
      <c r="C49">
        <v>4357</v>
      </c>
      <c r="D49">
        <v>0</v>
      </c>
      <c r="E49">
        <v>4059</v>
      </c>
      <c r="F49">
        <v>0</v>
      </c>
    </row>
    <row r="50" spans="1:6" ht="12">
      <c r="A50" t="s">
        <v>1170</v>
      </c>
      <c r="B50">
        <v>0</v>
      </c>
      <c r="C50">
        <v>2596</v>
      </c>
      <c r="D50">
        <v>0</v>
      </c>
      <c r="E50">
        <v>2465</v>
      </c>
      <c r="F50">
        <v>0</v>
      </c>
    </row>
    <row r="55" ht="12">
      <c r="A55" t="s">
        <v>1710</v>
      </c>
    </row>
    <row r="56" ht="12">
      <c r="A56" t="s">
        <v>1703</v>
      </c>
    </row>
    <row r="57" ht="12">
      <c r="A57" t="s">
        <v>26</v>
      </c>
    </row>
    <row r="58" ht="12">
      <c r="A58" t="s">
        <v>53</v>
      </c>
    </row>
    <row r="59" ht="12">
      <c r="A59" t="s">
        <v>1712</v>
      </c>
    </row>
    <row r="60" ht="12">
      <c r="A60" t="s">
        <v>1706</v>
      </c>
    </row>
    <row r="61" ht="12">
      <c r="A61" t="s">
        <v>54</v>
      </c>
    </row>
    <row r="62" ht="12">
      <c r="A62" t="s">
        <v>55</v>
      </c>
    </row>
    <row r="63" ht="12">
      <c r="A63" t="s">
        <v>56</v>
      </c>
    </row>
    <row r="64" ht="12">
      <c r="A64" t="s">
        <v>57</v>
      </c>
    </row>
    <row r="65" ht="12">
      <c r="A65" t="s">
        <v>58</v>
      </c>
    </row>
    <row r="66" ht="12">
      <c r="A66" t="s">
        <v>59</v>
      </c>
    </row>
    <row r="67" ht="12">
      <c r="A67" t="s">
        <v>1706</v>
      </c>
    </row>
    <row r="68" ht="12">
      <c r="A68" t="s">
        <v>30</v>
      </c>
    </row>
    <row r="69" ht="12">
      <c r="A69" t="s">
        <v>17</v>
      </c>
    </row>
    <row r="70" ht="12">
      <c r="A70" t="s">
        <v>1721</v>
      </c>
    </row>
    <row r="71" ht="12">
      <c r="A71" t="s">
        <v>1722</v>
      </c>
    </row>
    <row r="72" ht="12">
      <c r="A72" t="s">
        <v>60</v>
      </c>
    </row>
    <row r="73" ht="12">
      <c r="A73" t="s">
        <v>61</v>
      </c>
    </row>
    <row r="74" ht="12">
      <c r="A74" t="s">
        <v>62</v>
      </c>
    </row>
    <row r="75" ht="12">
      <c r="A75" t="s">
        <v>63</v>
      </c>
    </row>
    <row r="76" ht="12">
      <c r="A76" t="s">
        <v>64</v>
      </c>
    </row>
    <row r="77" ht="12">
      <c r="A77" t="s">
        <v>66</v>
      </c>
    </row>
    <row r="78" ht="12">
      <c r="A78" t="s">
        <v>67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:G40"/>
  <sheetViews>
    <sheetView workbookViewId="0" topLeftCell="A1">
      <selection activeCell="A33" sqref="A33"/>
    </sheetView>
  </sheetViews>
  <sheetFormatPr defaultColWidth="9.00390625" defaultRowHeight="12.75"/>
  <cols>
    <col min="1" max="1" width="13.875" style="0" customWidth="1"/>
    <col min="2" max="7" width="9.625" style="0" customWidth="1"/>
  </cols>
  <sheetData>
    <row r="1" spans="2:4" ht="15" customHeight="1">
      <c r="B1" s="61" t="s">
        <v>1671</v>
      </c>
      <c r="C1" s="61"/>
      <c r="D1" s="61"/>
    </row>
    <row r="2" spans="2:4" ht="18" customHeight="1">
      <c r="B2" s="53" t="s">
        <v>1664</v>
      </c>
      <c r="C2" s="53" t="s">
        <v>1665</v>
      </c>
      <c r="D2" s="53" t="s">
        <v>1666</v>
      </c>
    </row>
    <row r="3" spans="1:4" ht="24.75">
      <c r="A3" s="1" t="s">
        <v>1670</v>
      </c>
      <c r="B3" s="42" t="str">
        <f>CONCATENATE(TEXT(Table_12!D13,"0.000"),"    (",TEXT(Table_12!D13/Table_12!E13,"0.000"),")***")</f>
        <v>0.062    (0.058)***</v>
      </c>
      <c r="C3" s="42" t="str">
        <f>CONCATENATE(TEXT(Table_12a!D13,"0.000"),"    (",TEXT(Table_12a!D13/Table_12a!E13,"0.000"),")***")</f>
        <v>0.004    (0.006)***</v>
      </c>
      <c r="D3" s="42" t="str">
        <f>CONCATENATE(TEXT(Table_12b!D12,"0.000"),"    (",TEXT(Table_12b!D12/Table_12b!E12,"0.000"),")")</f>
        <v>-0.011    (0.007)</v>
      </c>
    </row>
    <row r="4" ht="12">
      <c r="A4" t="s">
        <v>1369</v>
      </c>
    </row>
    <row r="5" spans="1:4" ht="12">
      <c r="A5" t="s">
        <v>1579</v>
      </c>
      <c r="B5" s="51" t="s">
        <v>1381</v>
      </c>
      <c r="C5" s="51" t="s">
        <v>1381</v>
      </c>
      <c r="D5" s="51" t="s">
        <v>1381</v>
      </c>
    </row>
    <row r="6" spans="1:4" ht="12">
      <c r="A6" t="s">
        <v>1371</v>
      </c>
      <c r="B6" s="52" t="e">
        <f>Table_12!#REF!</f>
        <v>#REF!</v>
      </c>
      <c r="C6" s="52">
        <f>Table_12a!D21</f>
        <v>0</v>
      </c>
      <c r="D6" s="52">
        <f>Table_12b!D19</f>
        <v>317</v>
      </c>
    </row>
    <row r="7" spans="1:4" ht="12">
      <c r="A7" s="1" t="s">
        <v>1375</v>
      </c>
      <c r="B7" s="51">
        <f>Table_12!D21</f>
        <v>0</v>
      </c>
      <c r="C7" s="51" t="str">
        <f>Table_12a!D22</f>
        <v>c3</v>
      </c>
      <c r="D7" s="51">
        <f>Table_12b!D20</f>
        <v>172</v>
      </c>
    </row>
    <row r="8" spans="1:4" ht="12">
      <c r="A8" s="23" t="s">
        <v>1376</v>
      </c>
      <c r="B8" s="51" t="str">
        <f>Table_12!D22</f>
        <v>c3</v>
      </c>
      <c r="C8" s="51">
        <f>Table_12a!D23</f>
        <v>-0.00330238</v>
      </c>
      <c r="D8" s="51">
        <f>Table_12b!D21</f>
        <v>0</v>
      </c>
    </row>
    <row r="11" spans="2:4" ht="12">
      <c r="B11" s="61" t="s">
        <v>1671</v>
      </c>
      <c r="C11" s="61"/>
      <c r="D11" s="61"/>
    </row>
    <row r="12" spans="2:4" ht="21" customHeight="1">
      <c r="B12" s="53" t="s">
        <v>1664</v>
      </c>
      <c r="C12" s="53" t="s">
        <v>1665</v>
      </c>
      <c r="D12" s="53" t="s">
        <v>1666</v>
      </c>
    </row>
    <row r="13" spans="1:4" ht="27" customHeight="1">
      <c r="A13" s="54" t="s">
        <v>1514</v>
      </c>
      <c r="B13" s="42" t="str">
        <f>CONCATENATE(TEXT(Table_12!H15,"0.000"),"    (",TEXT(Table_12!H15/Table_12!I15,"0.000"),")")</f>
        <v>-0.172    (0.092)</v>
      </c>
      <c r="C13" s="42" t="str">
        <f>CONCATENATE(TEXT(Table_12a!H15,"0.000"),"      (",TEXT(Table_12a!H15/Table_12a!I15,"0.000"),")")</f>
        <v>-0.055      (0.007)</v>
      </c>
      <c r="D13" s="42" t="str">
        <f>CONCATENATE(TEXT(Table_12b!F14,"0.000"),"    (",TEXT(Table_12b!F14/Table_12b!G14,"0.000"),")")</f>
        <v>-0.004    (0.004)</v>
      </c>
    </row>
    <row r="14" ht="12">
      <c r="A14" s="50" t="s">
        <v>1369</v>
      </c>
    </row>
    <row r="15" spans="1:4" ht="12">
      <c r="A15" s="50" t="s">
        <v>1579</v>
      </c>
      <c r="B15" s="51" t="s">
        <v>1381</v>
      </c>
      <c r="C15" s="51" t="s">
        <v>1381</v>
      </c>
      <c r="D15" s="51" t="s">
        <v>1381</v>
      </c>
    </row>
    <row r="16" spans="1:4" ht="12">
      <c r="A16" s="50" t="s">
        <v>1371</v>
      </c>
      <c r="B16" s="52" t="e">
        <f>Table_12!#REF!</f>
        <v>#REF!</v>
      </c>
      <c r="C16" s="52">
        <f>Table_12a!H21</f>
        <v>0</v>
      </c>
      <c r="D16" s="52">
        <f>Table_12b!F19</f>
        <v>88</v>
      </c>
    </row>
    <row r="17" spans="1:4" ht="12">
      <c r="A17" s="54" t="s">
        <v>1375</v>
      </c>
      <c r="B17" s="51">
        <f>Table_12!H21</f>
        <v>0</v>
      </c>
      <c r="C17" s="51" t="str">
        <f>Table_12a!H22</f>
        <v>c7</v>
      </c>
      <c r="D17" s="51">
        <f>Table_12b!F20</f>
        <v>48</v>
      </c>
    </row>
    <row r="18" spans="1:4" ht="12">
      <c r="A18" s="50" t="s">
        <v>1376</v>
      </c>
      <c r="B18" s="51" t="str">
        <f>Table_12!H22</f>
        <v>c9</v>
      </c>
      <c r="C18" s="51">
        <f>Table_12a!H23</f>
        <v>0.00100042</v>
      </c>
      <c r="D18" s="51">
        <f>Table_12b!F21</f>
        <v>0</v>
      </c>
    </row>
    <row r="21" spans="2:4" ht="12">
      <c r="B21" s="61" t="s">
        <v>1671</v>
      </c>
      <c r="C21" s="61"/>
      <c r="D21" s="61"/>
    </row>
    <row r="22" spans="2:4" ht="12">
      <c r="B22" s="53" t="s">
        <v>1664</v>
      </c>
      <c r="C22" s="53" t="s">
        <v>1665</v>
      </c>
      <c r="D22" s="53" t="s">
        <v>1666</v>
      </c>
    </row>
    <row r="23" spans="1:4" ht="29.25" customHeight="1">
      <c r="A23" s="54" t="s">
        <v>1672</v>
      </c>
      <c r="B23" s="42" t="str">
        <f>CONCATENATE(TEXT(Table_12!F14,"0.000"),"    (",TEXT(Table_12!F14/Table_12!G14,"0.000"),")")</f>
        <v>-0.027    (0.057)</v>
      </c>
      <c r="C23" s="42" t="str">
        <f>CONCATENATE(TEXT(Table_12a!F14,"0.000"),"    (",TEXT(Table_12a!F14/Table_12a!G14,"0.000"),")")</f>
        <v>0.000    (0.005)</v>
      </c>
      <c r="D23" s="42" t="e">
        <f>CONCATENATE(TEXT(Table_12b!#REF!,"0.000"),"    (",TEXT(Table_12b!#REF!/Table_12b!#REF!,"0.000"),")")</f>
        <v>#REF!</v>
      </c>
    </row>
    <row r="24" ht="12">
      <c r="A24" s="50" t="s">
        <v>1369</v>
      </c>
    </row>
    <row r="25" spans="1:4" ht="12">
      <c r="A25" s="50" t="s">
        <v>1579</v>
      </c>
      <c r="B25" s="51" t="s">
        <v>1381</v>
      </c>
      <c r="C25" s="51" t="s">
        <v>1381</v>
      </c>
      <c r="D25" s="51" t="s">
        <v>1381</v>
      </c>
    </row>
    <row r="26" spans="1:4" ht="12">
      <c r="A26" s="50" t="s">
        <v>1371</v>
      </c>
      <c r="B26" s="52" t="e">
        <f>Table_12!#REF!</f>
        <v>#REF!</v>
      </c>
      <c r="C26" s="52">
        <f>Table_12a!F21</f>
        <v>0</v>
      </c>
      <c r="D26" s="52" t="e">
        <f>Table_12b!#REF!</f>
        <v>#REF!</v>
      </c>
    </row>
    <row r="27" spans="1:4" ht="12">
      <c r="A27" s="54" t="s">
        <v>1375</v>
      </c>
      <c r="B27" s="51">
        <f>Table_12!F21</f>
        <v>0</v>
      </c>
      <c r="C27" s="51" t="str">
        <f>Table_12a!F22</f>
        <v>c5</v>
      </c>
      <c r="D27" s="51" t="e">
        <f>Table_12b!#REF!</f>
        <v>#REF!</v>
      </c>
    </row>
    <row r="28" spans="1:4" ht="12">
      <c r="A28" s="50" t="s">
        <v>1376</v>
      </c>
      <c r="B28" s="51" t="str">
        <f>Table_12!F22</f>
        <v>c7</v>
      </c>
      <c r="C28" s="51">
        <f>Table_12a!F23</f>
        <v>0.00465022</v>
      </c>
      <c r="D28" s="51" t="e">
        <f>Table_12b!#REF!</f>
        <v>#REF!</v>
      </c>
    </row>
    <row r="30" spans="2:7" ht="12">
      <c r="B30" s="63" t="s">
        <v>1664</v>
      </c>
      <c r="C30" s="63"/>
      <c r="D30" s="63" t="s">
        <v>1665</v>
      </c>
      <c r="E30" s="63"/>
      <c r="F30" s="63" t="s">
        <v>1666</v>
      </c>
      <c r="G30" s="63"/>
    </row>
    <row r="31" spans="2:7" ht="12">
      <c r="B31" s="51" t="s">
        <v>1673</v>
      </c>
      <c r="C31" s="51" t="s">
        <v>314</v>
      </c>
      <c r="D31" s="51" t="s">
        <v>1673</v>
      </c>
      <c r="E31" s="51" t="s">
        <v>314</v>
      </c>
      <c r="F31" s="51" t="s">
        <v>1673</v>
      </c>
      <c r="G31" s="51" t="s">
        <v>314</v>
      </c>
    </row>
    <row r="32" spans="1:7" ht="27.75" customHeight="1">
      <c r="A32" s="54" t="s">
        <v>1516</v>
      </c>
      <c r="B32" s="47" t="e">
        <f>CONCATENATE(TEXT(Table_12!J9,"0.000"),"    (",TEXT(Table_12!J9/Table_12!K9,"0.000"),")")</f>
        <v>#DIV/0!</v>
      </c>
      <c r="C32" s="47" t="e">
        <f>CONCATENATE(TEXT(Table_12!L9,"0.000"),"    (",TEXT(Table_12!L9/Table_12!M9,"0.000"),")")</f>
        <v>#DIV/0!</v>
      </c>
      <c r="D32" s="47" t="e">
        <f>CONCATENATE(TEXT(Table_12a!J9,"0.000"),"    (",TEXT(Table_12a!J9/Table_12a!K9,"0.000"),")")</f>
        <v>#DIV/0!</v>
      </c>
      <c r="E32" s="47" t="e">
        <f>CONCATENATE(TEXT(Table_12a!L9,"0.000"),"    (",TEXT(Table_12a!L9/Table_12a!M9,"0.000"),")")</f>
        <v>#DIV/0!</v>
      </c>
      <c r="F32" s="47" t="e">
        <f>CONCATENATE(TEXT(Table_12b!#REF!,"0.000"),"    (",TEXT(Table_12b!#REF!/Table_12b!#REF!,"0.000"),")")</f>
        <v>#REF!</v>
      </c>
      <c r="G32" s="47" t="e">
        <f>CONCATENATE(TEXT(Table_12b!#REF!,"0.000"),"    (",TEXT(Table_12b!#REF!/Table_12b!#REF!,"0.000"),")")</f>
        <v>#REF!</v>
      </c>
    </row>
    <row r="33" spans="1:7" ht="27.75" customHeight="1">
      <c r="A33" s="54" t="s">
        <v>1674</v>
      </c>
      <c r="B33" s="47" t="e">
        <f>CONCATENATE(TEXT(Table_12!J10,"0.000"),"    (",TEXT(Table_12!J10/Table_12!K10,"0.000"),")")</f>
        <v>#DIV/0!</v>
      </c>
      <c r="C33" s="47" t="e">
        <f>CONCATENATE(TEXT(Table_12!L10,"0.000"),"    (",TEXT(Table_12!L10/Table_12!M10,"0.000"),")**")</f>
        <v>#DIV/0!</v>
      </c>
      <c r="D33" s="47" t="e">
        <f>CONCATENATE(TEXT(Table_12a!J10,"0.000"),"    (",TEXT(Table_12a!J10/Table_12a!K10,"0.000"),")***")</f>
        <v>#DIV/0!</v>
      </c>
      <c r="E33" s="47" t="e">
        <f>CONCATENATE(TEXT(Table_12a!L10,"0.000"),"    (",TEXT(Table_12a!L10/Table_12a!M10,"0.000"),")***")</f>
        <v>#DIV/0!</v>
      </c>
      <c r="F33" s="47" t="str">
        <f>CONCATENATE(TEXT(Table_12b!H9,"0.000"),"    (",TEXT(Table_12b!H9/Table_12b!I9,"0.000"),")")</f>
        <v>0.006    (0.005)</v>
      </c>
      <c r="G33" s="47" t="e">
        <f>CONCATENATE(TEXT(Table_12b!J9,"0.000"),"    (",TEXT(Table_12b!J9/Table_12b!K9,"0.000"),")**")</f>
        <v>#DIV/0!</v>
      </c>
    </row>
    <row r="34" spans="1:7" ht="27.75" customHeight="1">
      <c r="A34" s="54" t="s">
        <v>1536</v>
      </c>
      <c r="B34" s="47" t="e">
        <f>CONCATENATE(TEXT(Table_12!J11,"0.000"),"    (",TEXT(Table_12!J11/Table_12!K11,"0.000"),")*")</f>
        <v>#DIV/0!</v>
      </c>
      <c r="C34" s="47" t="e">
        <f>CONCATENATE(TEXT(Table_12!L11,"0.000"),"    (",TEXT(Table_12!L11/Table_12!M11,"0.000"),")")</f>
        <v>#DIV/0!</v>
      </c>
      <c r="D34" s="47" t="e">
        <f>CONCATENATE(TEXT(Table_12a!J11,"0.000"),"    (",TEXT(Table_12a!J11/Table_12a!K11,"0.000"),")**")</f>
        <v>#DIV/0!</v>
      </c>
      <c r="E34" s="47" t="e">
        <f>CONCATENATE(TEXT(Table_12a!L11,"0.000"),"    (",TEXT(Table_12a!L11/Table_12a!M11,"0.000"),")")</f>
        <v>#DIV/0!</v>
      </c>
      <c r="F34" s="47" t="str">
        <f>CONCATENATE(TEXT(Table_12b!H10,"0.000"),"    (",TEXT(Table_12b!H10/Table_12b!I10,"0.000"),")**")</f>
        <v>0.004    (0.003)**</v>
      </c>
      <c r="G34" s="47" t="e">
        <f>CONCATENATE(TEXT(Table_12b!J10,"0.000"),"    (",TEXT(Table_12b!J10/Table_12b!K10,"0.000"),")**")</f>
        <v>#DIV/0!</v>
      </c>
    </row>
    <row r="35" spans="1:7" ht="27.75" customHeight="1">
      <c r="A35" s="54" t="s">
        <v>1675</v>
      </c>
      <c r="B35" s="47" t="e">
        <f>CONCATENATE(TEXT(Table_12!J12,"0.000"),"    (",TEXT(Table_12!J12/Table_12!K12,"0.000"),")*")</f>
        <v>#DIV/0!</v>
      </c>
      <c r="C35" s="47" t="e">
        <f>CONCATENATE(TEXT(Table_12!L12,"0.000"),"    (",TEXT(Table_12!L12/Table_12!M12,"0.000"),")***")</f>
        <v>#DIV/0!</v>
      </c>
      <c r="D35" s="47" t="e">
        <f>CONCATENATE(TEXT(Table_12a!J12,"0.000"),"    (",TEXT(Table_12a!J12/Table_12a!K12,"0.000"),")***")</f>
        <v>#DIV/0!</v>
      </c>
      <c r="E35" s="47" t="e">
        <f>CONCATENATE(TEXT(Table_12a!L12,"0.000"),"    (",TEXT(Table_12a!L12/Table_12a!M12,"0.000"),")***")</f>
        <v>#DIV/0!</v>
      </c>
      <c r="F35" s="47" t="str">
        <f>CONCATENATE(TEXT(Table_12b!H11,"0.000"),"    (",TEXT(Table_12b!H11/Table_12b!I11,"0.000"),")")</f>
        <v>0.004    (0.004)</v>
      </c>
      <c r="G35" s="47" t="e">
        <f>CONCATENATE(TEXT(Table_12b!J11,"0.000"),"    (",TEXT(Table_12b!J11/Table_12b!K11,"0.000"),")**")</f>
        <v>#DIV/0!</v>
      </c>
    </row>
    <row r="36" spans="1:3" ht="12">
      <c r="A36" s="50" t="s">
        <v>1369</v>
      </c>
      <c r="B36" s="51"/>
      <c r="C36" s="51"/>
    </row>
    <row r="37" spans="1:7" ht="12">
      <c r="A37" s="50" t="s">
        <v>1579</v>
      </c>
      <c r="B37" s="51" t="s">
        <v>1381</v>
      </c>
      <c r="C37" s="51" t="s">
        <v>1381</v>
      </c>
      <c r="D37" s="51" t="s">
        <v>1381</v>
      </c>
      <c r="E37" s="51" t="s">
        <v>1381</v>
      </c>
      <c r="F37" s="51" t="s">
        <v>1381</v>
      </c>
      <c r="G37" s="51" t="s">
        <v>1381</v>
      </c>
    </row>
    <row r="38" spans="1:7" ht="12">
      <c r="A38" s="50" t="s">
        <v>1371</v>
      </c>
      <c r="B38" s="52" t="e">
        <f>Table_12!#REF!</f>
        <v>#REF!</v>
      </c>
      <c r="C38" s="52" t="e">
        <f>Table_12!#REF!</f>
        <v>#REF!</v>
      </c>
      <c r="D38" s="52">
        <f>Table_12a!J21</f>
        <v>0</v>
      </c>
      <c r="E38" s="52">
        <f>Table_12a!L21</f>
        <v>0</v>
      </c>
      <c r="F38" s="52">
        <f>Table_12b!H19</f>
        <v>88</v>
      </c>
      <c r="G38" s="52">
        <f>Table_12b!J19</f>
        <v>0</v>
      </c>
    </row>
    <row r="39" spans="1:7" ht="12">
      <c r="A39" s="54" t="s">
        <v>1375</v>
      </c>
      <c r="B39" s="51">
        <f>Table_12!J21</f>
        <v>0</v>
      </c>
      <c r="C39" s="51">
        <f>Table_12!L21</f>
        <v>0</v>
      </c>
      <c r="D39" s="51">
        <f>Table_12a!J22</f>
        <v>0</v>
      </c>
      <c r="E39" s="51">
        <f>Table_12a!L22</f>
        <v>0</v>
      </c>
      <c r="F39" s="51">
        <f>Table_12b!H20</f>
        <v>48</v>
      </c>
      <c r="G39" s="51">
        <f>Table_12b!J20</f>
        <v>0</v>
      </c>
    </row>
    <row r="40" spans="1:7" ht="12">
      <c r="A40" s="50" t="s">
        <v>1376</v>
      </c>
      <c r="B40" s="51">
        <f>Table_12!J22</f>
        <v>0</v>
      </c>
      <c r="C40" s="51">
        <f>Table_12!L22</f>
        <v>0</v>
      </c>
      <c r="D40" s="51">
        <f>Table_12a!J23</f>
        <v>0</v>
      </c>
      <c r="E40" s="51">
        <f>Table_12a!L23</f>
        <v>0</v>
      </c>
      <c r="F40" s="51">
        <f>Table_12b!H21</f>
        <v>0</v>
      </c>
      <c r="G40" s="51">
        <f>Table_12b!J21</f>
        <v>0</v>
      </c>
    </row>
  </sheetData>
  <mergeCells count="6">
    <mergeCell ref="F30:G30"/>
    <mergeCell ref="B1:D1"/>
    <mergeCell ref="B11:D11"/>
    <mergeCell ref="B21:D21"/>
    <mergeCell ref="B30:C30"/>
    <mergeCell ref="D30:E30"/>
  </mergeCells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8"/>
  <dimension ref="A1:N75"/>
  <sheetViews>
    <sheetView workbookViewId="0" topLeftCell="A1">
      <selection activeCell="B11" sqref="B11"/>
    </sheetView>
  </sheetViews>
  <sheetFormatPr defaultColWidth="9.00390625" defaultRowHeight="12.75"/>
  <cols>
    <col min="1" max="1" width="14.375" style="0" customWidth="1"/>
  </cols>
  <sheetData>
    <row r="1" spans="1:4" ht="12">
      <c r="A1" t="s">
        <v>1698</v>
      </c>
      <c r="B1">
        <v>3</v>
      </c>
      <c r="C1" t="s">
        <v>1699</v>
      </c>
      <c r="D1">
        <v>6</v>
      </c>
    </row>
    <row r="2" spans="1:2" ht="12">
      <c r="A2" t="s">
        <v>1700</v>
      </c>
      <c r="B2">
        <v>1</v>
      </c>
    </row>
    <row r="3" spans="1:2" ht="12">
      <c r="A3" t="s">
        <v>1701</v>
      </c>
      <c r="B3">
        <v>10</v>
      </c>
    </row>
    <row r="5" spans="1:8" ht="12">
      <c r="A5" t="s">
        <v>147</v>
      </c>
      <c r="H5" t="s">
        <v>1623</v>
      </c>
    </row>
    <row r="6" ht="12">
      <c r="A6" t="s">
        <v>1581</v>
      </c>
    </row>
    <row r="7" spans="2:8" ht="12">
      <c r="B7" t="s">
        <v>1522</v>
      </c>
      <c r="H7" t="s">
        <v>1523</v>
      </c>
    </row>
    <row r="8" spans="2:13" ht="12">
      <c r="B8" s="14" t="s">
        <v>668</v>
      </c>
      <c r="C8" s="14" t="s">
        <v>1524</v>
      </c>
      <c r="D8" s="14" t="s">
        <v>669</v>
      </c>
      <c r="E8" s="14" t="s">
        <v>1524</v>
      </c>
      <c r="F8" s="14" t="s">
        <v>1264</v>
      </c>
      <c r="G8" s="14" t="s">
        <v>1524</v>
      </c>
      <c r="H8" s="14" t="s">
        <v>1265</v>
      </c>
      <c r="I8" s="14" t="s">
        <v>1524</v>
      </c>
      <c r="J8" s="14" t="s">
        <v>1365</v>
      </c>
      <c r="K8" s="14" t="s">
        <v>1524</v>
      </c>
      <c r="L8" s="14" t="s">
        <v>1366</v>
      </c>
      <c r="M8" s="14" t="s">
        <v>1524</v>
      </c>
    </row>
    <row r="9" spans="1:13" ht="12">
      <c r="A9" t="s">
        <v>1691</v>
      </c>
      <c r="B9">
        <f>B23</f>
        <v>0.12580994</v>
      </c>
      <c r="C9">
        <f aca="true" t="shared" si="0" ref="C9:H9">C23</f>
        <v>2.9802224</v>
      </c>
      <c r="D9">
        <f t="shared" si="0"/>
        <v>0.10404091</v>
      </c>
      <c r="E9">
        <f t="shared" si="0"/>
        <v>2.353049</v>
      </c>
      <c r="F9">
        <f t="shared" si="0"/>
        <v>0.08567505</v>
      </c>
      <c r="G9">
        <f t="shared" si="0"/>
        <v>1.9317659</v>
      </c>
      <c r="H9">
        <f t="shared" si="0"/>
        <v>0.79468476</v>
      </c>
      <c r="I9">
        <f>B36</f>
        <v>2.5884635</v>
      </c>
      <c r="J9">
        <f>C36</f>
        <v>0.77293738</v>
      </c>
      <c r="K9">
        <f>D36</f>
        <v>2.3792918</v>
      </c>
      <c r="L9">
        <f>E36</f>
        <v>0.72145383</v>
      </c>
      <c r="M9">
        <f>F36</f>
        <v>1.3991137</v>
      </c>
    </row>
    <row r="10" ht="12">
      <c r="A10" t="s">
        <v>1521</v>
      </c>
    </row>
    <row r="11" spans="1:12" ht="12">
      <c r="A11" t="s">
        <v>1579</v>
      </c>
      <c r="B11" t="str">
        <f>IF(B25=1,"Y","N")</f>
        <v>Y</v>
      </c>
      <c r="D11" t="str">
        <f>IF(D25=1,"Y","N")</f>
        <v>Y</v>
      </c>
      <c r="F11" t="str">
        <f>IF(F25=1,"Y","N")</f>
        <v>Y</v>
      </c>
      <c r="H11" t="str">
        <f>IF(H25=1,"Y","N")</f>
        <v>Y</v>
      </c>
      <c r="J11" t="str">
        <f>IF(C38=1,"Y","N")</f>
        <v>Y</v>
      </c>
      <c r="L11" t="str">
        <f>IF(E38=1,"Y","N")</f>
        <v>Y</v>
      </c>
    </row>
    <row r="12" spans="1:12" ht="12">
      <c r="A12" t="s">
        <v>1580</v>
      </c>
      <c r="B12" t="str">
        <f>IF(B26=1,"Y","N")</f>
        <v>N</v>
      </c>
      <c r="D12" t="str">
        <f>IF(D26=1,"Y","N")</f>
        <v>Y</v>
      </c>
      <c r="F12" t="str">
        <f>IF(F26=1,"Y","N")</f>
        <v>Y</v>
      </c>
      <c r="H12" t="str">
        <f>IF(H26=1,"Y","N")</f>
        <v>N</v>
      </c>
      <c r="J12" t="str">
        <f>IF(C39=1,"Y","N")</f>
        <v>Y</v>
      </c>
      <c r="L12" t="str">
        <f>IF(E39=1,"Y","N")</f>
        <v>Y</v>
      </c>
    </row>
    <row r="13" spans="1:12" ht="12">
      <c r="A13" t="s">
        <v>1370</v>
      </c>
      <c r="B13" t="str">
        <f>IF(B27=1,"Y","N")</f>
        <v>N</v>
      </c>
      <c r="D13" t="str">
        <f>IF(D27=1,"Y","N")</f>
        <v>N</v>
      </c>
      <c r="F13" t="str">
        <f>IF(F27=1,"Y","N")</f>
        <v>Y</v>
      </c>
      <c r="H13" t="str">
        <f>IF(H27=1,"Y","N")</f>
        <v>N</v>
      </c>
      <c r="J13" t="str">
        <f>IF(C40=1,"Y","N")</f>
        <v>N</v>
      </c>
      <c r="L13" t="str">
        <f>IF(E40=1,"Y","N")</f>
        <v>Y</v>
      </c>
    </row>
    <row r="14" ht="12">
      <c r="A14" t="s">
        <v>1371</v>
      </c>
    </row>
    <row r="15" spans="1:14" ht="12">
      <c r="A15" t="s">
        <v>1372</v>
      </c>
      <c r="B15">
        <f>B29</f>
        <v>0.02943484</v>
      </c>
      <c r="D15">
        <f>D29</f>
        <v>0.03906371</v>
      </c>
      <c r="F15">
        <f>F29</f>
        <v>0.03829427</v>
      </c>
      <c r="N15" t="s">
        <v>1533</v>
      </c>
    </row>
    <row r="16" spans="1:14" ht="12">
      <c r="A16" t="s">
        <v>1373</v>
      </c>
      <c r="B16">
        <f>B30</f>
        <v>0.0402899</v>
      </c>
      <c r="D16">
        <f>D30</f>
        <v>0.04817315</v>
      </c>
      <c r="F16">
        <f>F30</f>
        <v>0.36109136</v>
      </c>
      <c r="N16" t="s">
        <v>1534</v>
      </c>
    </row>
    <row r="17" spans="1:14" ht="12">
      <c r="A17" t="s">
        <v>1374</v>
      </c>
      <c r="B17">
        <f>B31</f>
        <v>0.02141912</v>
      </c>
      <c r="D17">
        <f>D31</f>
        <v>0.02678004</v>
      </c>
      <c r="F17">
        <f>F31</f>
        <v>0.35185699</v>
      </c>
      <c r="N17" t="s">
        <v>1535</v>
      </c>
    </row>
    <row r="18" spans="1:12" ht="12">
      <c r="A18" t="s">
        <v>1375</v>
      </c>
      <c r="B18">
        <f>B32</f>
        <v>294</v>
      </c>
      <c r="D18">
        <f>D32</f>
        <v>294</v>
      </c>
      <c r="F18">
        <f>F32</f>
        <v>294</v>
      </c>
      <c r="H18">
        <f>H32</f>
        <v>294</v>
      </c>
      <c r="J18">
        <f>B45</f>
        <v>0</v>
      </c>
      <c r="L18">
        <f>D45</f>
        <v>0</v>
      </c>
    </row>
    <row r="19" spans="1:6" ht="12">
      <c r="A19" t="s">
        <v>1376</v>
      </c>
      <c r="B19">
        <f>B33</f>
        <v>163</v>
      </c>
      <c r="D19">
        <f>D33</f>
        <v>163</v>
      </c>
      <c r="F19">
        <f>F33</f>
        <v>163</v>
      </c>
    </row>
    <row r="20" spans="2:3" ht="12">
      <c r="B20">
        <v>0.1929247</v>
      </c>
      <c r="C20">
        <v>0.2190107</v>
      </c>
    </row>
    <row r="21" spans="2:11" ht="12">
      <c r="B21">
        <f>$B$20*B9</f>
        <v>0.024271844931518002</v>
      </c>
      <c r="C21">
        <f>B21/$C$20</f>
        <v>0.11082492741915351</v>
      </c>
      <c r="D21">
        <f>$B$20*D9</f>
        <v>0.020072061349477</v>
      </c>
      <c r="E21">
        <f>D21/$C$20</f>
        <v>0.0916487703544941</v>
      </c>
      <c r="F21">
        <f>$B$20*F9</f>
        <v>0.016528833318735</v>
      </c>
      <c r="G21">
        <f>F21/$C$20</f>
        <v>0.07547043737468077</v>
      </c>
      <c r="K21" t="s">
        <v>1528</v>
      </c>
    </row>
    <row r="22" spans="2:8" ht="12">
      <c r="B22" t="s">
        <v>1154</v>
      </c>
      <c r="C22" t="s">
        <v>1155</v>
      </c>
      <c r="D22" t="s">
        <v>1156</v>
      </c>
      <c r="E22" t="s">
        <v>1157</v>
      </c>
      <c r="F22" t="s">
        <v>1377</v>
      </c>
      <c r="G22" t="s">
        <v>1378</v>
      </c>
      <c r="H22" t="s">
        <v>1379</v>
      </c>
    </row>
    <row r="23" spans="1:11" ht="12">
      <c r="A23" t="s">
        <v>1158</v>
      </c>
      <c r="B23">
        <v>0.12580994</v>
      </c>
      <c r="C23">
        <v>2.9802224</v>
      </c>
      <c r="D23">
        <v>0.10404091</v>
      </c>
      <c r="E23">
        <v>2.353049</v>
      </c>
      <c r="F23">
        <v>0.08567505</v>
      </c>
      <c r="G23">
        <v>1.9317659</v>
      </c>
      <c r="H23">
        <v>0.79468476</v>
      </c>
      <c r="K23" t="s">
        <v>1529</v>
      </c>
    </row>
    <row r="24" spans="1:8" ht="12">
      <c r="A24" t="s">
        <v>1159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1:8" ht="12">
      <c r="A25" t="s">
        <v>1160</v>
      </c>
      <c r="B25">
        <v>1</v>
      </c>
      <c r="C25">
        <v>0</v>
      </c>
      <c r="D25">
        <v>1</v>
      </c>
      <c r="E25">
        <v>0</v>
      </c>
      <c r="F25">
        <v>1</v>
      </c>
      <c r="G25">
        <v>0</v>
      </c>
      <c r="H25">
        <v>1</v>
      </c>
    </row>
    <row r="26" spans="1:8" ht="12">
      <c r="A26" t="s">
        <v>1161</v>
      </c>
      <c r="B26">
        <v>0</v>
      </c>
      <c r="C26">
        <v>0</v>
      </c>
      <c r="D26">
        <v>1</v>
      </c>
      <c r="E26">
        <v>0</v>
      </c>
      <c r="F26">
        <v>1</v>
      </c>
      <c r="G26">
        <v>0</v>
      </c>
      <c r="H26">
        <v>0</v>
      </c>
    </row>
    <row r="27" spans="1:8" ht="12">
      <c r="A27" t="s">
        <v>1162</v>
      </c>
      <c r="B27">
        <v>0</v>
      </c>
      <c r="C27">
        <v>0</v>
      </c>
      <c r="D27">
        <v>0</v>
      </c>
      <c r="E27">
        <v>0</v>
      </c>
      <c r="F27">
        <v>1</v>
      </c>
      <c r="G27">
        <v>0</v>
      </c>
      <c r="H27">
        <v>0</v>
      </c>
    </row>
    <row r="28" spans="1:8" ht="12">
      <c r="A28" t="s">
        <v>1163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</row>
    <row r="29" spans="1:8" ht="12">
      <c r="A29" t="s">
        <v>1164</v>
      </c>
      <c r="B29">
        <v>0.02943484</v>
      </c>
      <c r="C29">
        <v>0</v>
      </c>
      <c r="D29">
        <v>0.03906371</v>
      </c>
      <c r="E29">
        <v>0</v>
      </c>
      <c r="F29">
        <v>0.03829427</v>
      </c>
      <c r="G29">
        <v>0</v>
      </c>
      <c r="H29">
        <v>0</v>
      </c>
    </row>
    <row r="30" spans="1:8" ht="12">
      <c r="A30" t="s">
        <v>1165</v>
      </c>
      <c r="B30">
        <v>0.0402899</v>
      </c>
      <c r="C30">
        <v>0</v>
      </c>
      <c r="D30">
        <v>0.04817315</v>
      </c>
      <c r="E30">
        <v>0</v>
      </c>
      <c r="F30">
        <v>0.36109136</v>
      </c>
      <c r="G30">
        <v>0</v>
      </c>
      <c r="H30">
        <v>0</v>
      </c>
    </row>
    <row r="31" spans="1:8" ht="12">
      <c r="A31" t="s">
        <v>1166</v>
      </c>
      <c r="B31">
        <v>0.02141912</v>
      </c>
      <c r="C31">
        <v>0</v>
      </c>
      <c r="D31">
        <v>0.02678004</v>
      </c>
      <c r="E31">
        <v>0</v>
      </c>
      <c r="F31">
        <v>0.35185699</v>
      </c>
      <c r="G31">
        <v>0</v>
      </c>
      <c r="H31">
        <v>0</v>
      </c>
    </row>
    <row r="32" spans="1:8" ht="12">
      <c r="A32" t="s">
        <v>1167</v>
      </c>
      <c r="B32">
        <v>294</v>
      </c>
      <c r="C32">
        <v>0</v>
      </c>
      <c r="D32">
        <v>294</v>
      </c>
      <c r="E32">
        <v>0</v>
      </c>
      <c r="F32">
        <v>294</v>
      </c>
      <c r="G32">
        <v>0</v>
      </c>
      <c r="H32">
        <v>294</v>
      </c>
    </row>
    <row r="33" spans="1:8" ht="12">
      <c r="A33" t="s">
        <v>1168</v>
      </c>
      <c r="B33">
        <v>163</v>
      </c>
      <c r="C33">
        <v>0</v>
      </c>
      <c r="D33">
        <v>163</v>
      </c>
      <c r="E33">
        <v>0</v>
      </c>
      <c r="F33">
        <v>163</v>
      </c>
      <c r="G33">
        <v>0</v>
      </c>
      <c r="H33">
        <v>0</v>
      </c>
    </row>
    <row r="35" spans="2:6" ht="12">
      <c r="B35" t="s">
        <v>1380</v>
      </c>
      <c r="C35" t="s">
        <v>1517</v>
      </c>
      <c r="D35" t="s">
        <v>1518</v>
      </c>
      <c r="E35" t="s">
        <v>1519</v>
      </c>
      <c r="F35" t="s">
        <v>1520</v>
      </c>
    </row>
    <row r="36" spans="1:6" ht="12">
      <c r="A36" t="s">
        <v>1158</v>
      </c>
      <c r="B36">
        <v>2.5884635</v>
      </c>
      <c r="C36">
        <v>0.77293738</v>
      </c>
      <c r="D36">
        <v>2.3792918</v>
      </c>
      <c r="E36">
        <v>0.72145383</v>
      </c>
      <c r="F36">
        <v>1.3991137</v>
      </c>
    </row>
    <row r="37" spans="1:6" ht="12">
      <c r="A37" t="s">
        <v>1159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ht="12">
      <c r="A38" t="s">
        <v>1160</v>
      </c>
      <c r="B38">
        <v>0</v>
      </c>
      <c r="C38">
        <v>1</v>
      </c>
      <c r="D38">
        <v>0</v>
      </c>
      <c r="E38">
        <v>1</v>
      </c>
      <c r="F38">
        <v>0</v>
      </c>
    </row>
    <row r="39" spans="1:6" ht="12">
      <c r="A39" t="s">
        <v>1161</v>
      </c>
      <c r="B39">
        <v>0</v>
      </c>
      <c r="C39">
        <v>1</v>
      </c>
      <c r="D39">
        <v>0</v>
      </c>
      <c r="E39">
        <v>1</v>
      </c>
      <c r="F39">
        <v>0</v>
      </c>
    </row>
    <row r="40" spans="1:6" ht="12">
      <c r="A40" t="s">
        <v>1162</v>
      </c>
      <c r="B40">
        <v>0</v>
      </c>
      <c r="C40">
        <v>0</v>
      </c>
      <c r="D40">
        <v>0</v>
      </c>
      <c r="E40">
        <v>1</v>
      </c>
      <c r="F40">
        <v>0</v>
      </c>
    </row>
    <row r="41" spans="1:6" ht="12">
      <c r="A41" t="s">
        <v>1163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ht="12">
      <c r="A42" t="s">
        <v>1164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ht="12">
      <c r="A43" t="s">
        <v>1165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ht="12">
      <c r="A44" t="s">
        <v>1166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ht="12">
      <c r="A45" t="s">
        <v>1167</v>
      </c>
      <c r="B45">
        <v>0</v>
      </c>
      <c r="C45">
        <v>294</v>
      </c>
      <c r="D45">
        <v>0</v>
      </c>
      <c r="E45">
        <v>294</v>
      </c>
      <c r="F45">
        <v>0</v>
      </c>
    </row>
    <row r="46" spans="1:6" ht="12">
      <c r="A46" t="s">
        <v>1168</v>
      </c>
      <c r="B46">
        <v>0</v>
      </c>
      <c r="C46">
        <v>0</v>
      </c>
      <c r="D46">
        <v>0</v>
      </c>
      <c r="E46">
        <v>0</v>
      </c>
      <c r="F46">
        <v>0</v>
      </c>
    </row>
    <row r="55" ht="12">
      <c r="A55" t="s">
        <v>1710</v>
      </c>
    </row>
    <row r="56" ht="12">
      <c r="A56" t="s">
        <v>1703</v>
      </c>
    </row>
    <row r="57" ht="12">
      <c r="A57" t="s">
        <v>26</v>
      </c>
    </row>
    <row r="58" ht="12">
      <c r="A58" t="s">
        <v>27</v>
      </c>
    </row>
    <row r="59" ht="12">
      <c r="A59" t="s">
        <v>1712</v>
      </c>
    </row>
    <row r="60" ht="12">
      <c r="A60" t="s">
        <v>1706</v>
      </c>
    </row>
    <row r="61" ht="12">
      <c r="A61" t="s">
        <v>28</v>
      </c>
    </row>
    <row r="62" ht="12">
      <c r="A62" t="s">
        <v>29</v>
      </c>
    </row>
    <row r="63" ht="12">
      <c r="A63" t="s">
        <v>1706</v>
      </c>
    </row>
    <row r="64" ht="12">
      <c r="A64" t="s">
        <v>30</v>
      </c>
    </row>
    <row r="65" ht="12">
      <c r="A65" t="s">
        <v>17</v>
      </c>
    </row>
    <row r="66" ht="12">
      <c r="A66" t="s">
        <v>31</v>
      </c>
    </row>
    <row r="67" ht="12">
      <c r="A67" t="s">
        <v>32</v>
      </c>
    </row>
    <row r="68" ht="12">
      <c r="A68" t="s">
        <v>1722</v>
      </c>
    </row>
    <row r="69" ht="12">
      <c r="A69" t="s">
        <v>33</v>
      </c>
    </row>
    <row r="70" ht="12">
      <c r="A70" t="s">
        <v>34</v>
      </c>
    </row>
    <row r="71" ht="12">
      <c r="A71" t="s">
        <v>35</v>
      </c>
    </row>
    <row r="72" ht="12">
      <c r="A72" t="s">
        <v>36</v>
      </c>
    </row>
    <row r="73" ht="12">
      <c r="A73" t="s">
        <v>37</v>
      </c>
    </row>
    <row r="74" ht="12">
      <c r="A74" t="s">
        <v>66</v>
      </c>
    </row>
    <row r="75" ht="12">
      <c r="A75" t="s">
        <v>67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9"/>
  <dimension ref="A1:M75"/>
  <sheetViews>
    <sheetView workbookViewId="0" topLeftCell="A1">
      <selection activeCell="J9" sqref="J9:M9"/>
    </sheetView>
  </sheetViews>
  <sheetFormatPr defaultColWidth="9.00390625" defaultRowHeight="12.75"/>
  <cols>
    <col min="1" max="1" width="14.375" style="0" customWidth="1"/>
  </cols>
  <sheetData>
    <row r="1" spans="1:4" ht="12">
      <c r="A1" t="s">
        <v>1698</v>
      </c>
      <c r="B1">
        <v>3</v>
      </c>
      <c r="C1" t="s">
        <v>1699</v>
      </c>
      <c r="D1">
        <v>6</v>
      </c>
    </row>
    <row r="2" spans="1:2" ht="12">
      <c r="A2" t="s">
        <v>1700</v>
      </c>
      <c r="B2">
        <v>1</v>
      </c>
    </row>
    <row r="3" spans="1:2" ht="12">
      <c r="A3" t="s">
        <v>1701</v>
      </c>
      <c r="B3">
        <v>10</v>
      </c>
    </row>
    <row r="5" spans="1:8" ht="12">
      <c r="A5" t="s">
        <v>148</v>
      </c>
      <c r="H5" t="s">
        <v>1623</v>
      </c>
    </row>
    <row r="6" ht="12">
      <c r="A6" t="s">
        <v>1581</v>
      </c>
    </row>
    <row r="7" spans="2:8" ht="12">
      <c r="B7" t="s">
        <v>1522</v>
      </c>
      <c r="H7" t="s">
        <v>1523</v>
      </c>
    </row>
    <row r="8" spans="2:13" ht="12">
      <c r="B8" s="14" t="s">
        <v>668</v>
      </c>
      <c r="C8" s="14" t="s">
        <v>1524</v>
      </c>
      <c r="D8" s="14" t="s">
        <v>669</v>
      </c>
      <c r="E8" s="14" t="s">
        <v>1524</v>
      </c>
      <c r="F8" s="14" t="s">
        <v>1264</v>
      </c>
      <c r="G8" s="14" t="s">
        <v>1524</v>
      </c>
      <c r="H8" s="14" t="s">
        <v>1265</v>
      </c>
      <c r="I8" s="14" t="s">
        <v>1524</v>
      </c>
      <c r="J8" s="14" t="s">
        <v>1365</v>
      </c>
      <c r="K8" s="14" t="s">
        <v>1524</v>
      </c>
      <c r="L8" s="14" t="s">
        <v>1366</v>
      </c>
      <c r="M8" s="14" t="s">
        <v>1524</v>
      </c>
    </row>
    <row r="9" spans="1:13" ht="12">
      <c r="A9" t="s">
        <v>1368</v>
      </c>
      <c r="B9">
        <f>B23</f>
        <v>0.90792401</v>
      </c>
      <c r="C9">
        <f aca="true" t="shared" si="0" ref="C9:H9">C23</f>
        <v>3.036135</v>
      </c>
      <c r="D9">
        <f t="shared" si="0"/>
        <v>0.86054322</v>
      </c>
      <c r="E9">
        <f t="shared" si="0"/>
        <v>2.8446153</v>
      </c>
      <c r="F9">
        <f t="shared" si="0"/>
        <v>0.67890027</v>
      </c>
      <c r="G9">
        <f t="shared" si="0"/>
        <v>2.1985047</v>
      </c>
      <c r="H9">
        <f t="shared" si="0"/>
        <v>5.2788937</v>
      </c>
      <c r="I9">
        <f>B36</f>
        <v>2.5142687</v>
      </c>
      <c r="J9">
        <f>C36</f>
        <v>5.0323688</v>
      </c>
      <c r="K9">
        <f>D36</f>
        <v>2.3913537</v>
      </c>
      <c r="L9">
        <f>E36</f>
        <v>7.0357781</v>
      </c>
      <c r="M9">
        <f>F36</f>
        <v>1.4420525</v>
      </c>
    </row>
    <row r="10" ht="12">
      <c r="A10" t="s">
        <v>1521</v>
      </c>
    </row>
    <row r="11" spans="1:12" ht="12">
      <c r="A11" t="s">
        <v>1579</v>
      </c>
      <c r="B11" t="str">
        <f>IF(B25=1,"Y","N")</f>
        <v>Y</v>
      </c>
      <c r="D11" t="str">
        <f>IF(D25=1,"Y","N")</f>
        <v>Y</v>
      </c>
      <c r="F11" t="str">
        <f>IF(F25=1,"Y","N")</f>
        <v>Y</v>
      </c>
      <c r="H11" t="str">
        <f>IF(H25=1,"Y","N")</f>
        <v>Y</v>
      </c>
      <c r="J11" t="str">
        <f>IF(C38=1,"Y","N")</f>
        <v>Y</v>
      </c>
      <c r="L11" t="str">
        <f>IF(E38=1,"Y","N")</f>
        <v>Y</v>
      </c>
    </row>
    <row r="12" spans="1:12" ht="12">
      <c r="A12" t="s">
        <v>1580</v>
      </c>
      <c r="B12" t="str">
        <f>IF(B26=1,"Y","N")</f>
        <v>N</v>
      </c>
      <c r="D12" t="str">
        <f>IF(D26=1,"Y","N")</f>
        <v>Y</v>
      </c>
      <c r="F12" t="str">
        <f>IF(F26=1,"Y","N")</f>
        <v>Y</v>
      </c>
      <c r="H12" t="str">
        <f>IF(H26=1,"Y","N")</f>
        <v>N</v>
      </c>
      <c r="J12" t="str">
        <f>IF(C39=1,"Y","N")</f>
        <v>Y</v>
      </c>
      <c r="L12" t="str">
        <f>IF(E39=1,"Y","N")</f>
        <v>Y</v>
      </c>
    </row>
    <row r="13" spans="1:12" ht="12">
      <c r="A13" t="s">
        <v>1370</v>
      </c>
      <c r="B13" t="str">
        <f>IF(B27=1,"Y","N")</f>
        <v>N</v>
      </c>
      <c r="D13" t="str">
        <f>IF(D27=1,"Y","N")</f>
        <v>N</v>
      </c>
      <c r="F13" t="str">
        <f>IF(F27=1,"Y","N")</f>
        <v>Y</v>
      </c>
      <c r="H13" t="str">
        <f>IF(H27=1,"Y","N")</f>
        <v>N</v>
      </c>
      <c r="J13" t="str">
        <f>IF(C40=1,"Y","N")</f>
        <v>N</v>
      </c>
      <c r="L13" t="str">
        <f>IF(E40=1,"Y","N")</f>
        <v>Y</v>
      </c>
    </row>
    <row r="14" ht="12">
      <c r="A14" t="s">
        <v>1371</v>
      </c>
    </row>
    <row r="15" spans="1:6" ht="12">
      <c r="A15" t="s">
        <v>1372</v>
      </c>
      <c r="B15">
        <f>B29</f>
        <v>0.05197903</v>
      </c>
      <c r="D15">
        <f>D29</f>
        <v>0.04777206</v>
      </c>
      <c r="F15">
        <f>F29</f>
        <v>0.03594523</v>
      </c>
    </row>
    <row r="16" spans="1:6" ht="12">
      <c r="A16" t="s">
        <v>1373</v>
      </c>
      <c r="B16">
        <f>B30</f>
        <v>0.01713454</v>
      </c>
      <c r="D16">
        <f>D30</f>
        <v>0.03337992</v>
      </c>
      <c r="F16">
        <f>F30</f>
        <v>0.34446495</v>
      </c>
    </row>
    <row r="17" spans="1:6" ht="12">
      <c r="A17" t="s">
        <v>1374</v>
      </c>
      <c r="B17">
        <f>B31</f>
        <v>0.01204961</v>
      </c>
      <c r="D17">
        <f>D31</f>
        <v>0.0213536</v>
      </c>
      <c r="F17">
        <f>F31</f>
        <v>0.33597856</v>
      </c>
    </row>
    <row r="18" spans="1:12" ht="12">
      <c r="A18" t="s">
        <v>1375</v>
      </c>
      <c r="B18">
        <f>B32</f>
        <v>301</v>
      </c>
      <c r="D18">
        <f>D32</f>
        <v>299</v>
      </c>
      <c r="F18">
        <f>F32</f>
        <v>299</v>
      </c>
      <c r="H18">
        <f>H32</f>
        <v>301</v>
      </c>
      <c r="J18">
        <f>B45</f>
        <v>0</v>
      </c>
      <c r="L18">
        <f>D45</f>
        <v>0</v>
      </c>
    </row>
    <row r="19" spans="1:6" ht="12">
      <c r="A19" t="s">
        <v>1376</v>
      </c>
      <c r="B19">
        <f>B33</f>
        <v>166</v>
      </c>
      <c r="D19">
        <f>D33</f>
        <v>164</v>
      </c>
      <c r="F19">
        <f>F33</f>
        <v>164</v>
      </c>
    </row>
    <row r="20" spans="2:3" ht="12">
      <c r="B20">
        <v>0.0264332</v>
      </c>
      <c r="C20">
        <v>0.2190107</v>
      </c>
    </row>
    <row r="21" spans="2:7" ht="12">
      <c r="B21">
        <f>$B$20*B9</f>
        <v>0.023999336941132002</v>
      </c>
      <c r="C21">
        <f>B21/$C$20</f>
        <v>0.10958065948892909</v>
      </c>
      <c r="D21">
        <f>$B$20*D9</f>
        <v>0.022746911042904</v>
      </c>
      <c r="E21">
        <f>D21/$C$20</f>
        <v>0.10386209917097201</v>
      </c>
      <c r="F21">
        <f>$B$20*F9</f>
        <v>0.017945506616964</v>
      </c>
      <c r="G21">
        <f>F21/$C$20</f>
        <v>0.08193894917903098</v>
      </c>
    </row>
    <row r="22" spans="2:8" ht="12">
      <c r="B22" t="s">
        <v>1154</v>
      </c>
      <c r="C22" t="s">
        <v>1155</v>
      </c>
      <c r="D22" t="s">
        <v>1156</v>
      </c>
      <c r="E22" t="s">
        <v>1157</v>
      </c>
      <c r="F22" t="s">
        <v>1377</v>
      </c>
      <c r="G22" t="s">
        <v>1378</v>
      </c>
      <c r="H22" t="s">
        <v>1379</v>
      </c>
    </row>
    <row r="23" spans="1:8" ht="12">
      <c r="A23" t="s">
        <v>1158</v>
      </c>
      <c r="B23">
        <v>0.90792401</v>
      </c>
      <c r="C23">
        <v>3.036135</v>
      </c>
      <c r="D23">
        <v>0.86054322</v>
      </c>
      <c r="E23">
        <v>2.8446153</v>
      </c>
      <c r="F23">
        <v>0.67890027</v>
      </c>
      <c r="G23">
        <v>2.1985047</v>
      </c>
      <c r="H23">
        <v>5.2788937</v>
      </c>
    </row>
    <row r="24" spans="1:8" ht="12">
      <c r="A24" t="s">
        <v>1159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1:8" ht="12">
      <c r="A25" t="s">
        <v>1160</v>
      </c>
      <c r="B25">
        <v>1</v>
      </c>
      <c r="C25">
        <v>0</v>
      </c>
      <c r="D25">
        <v>1</v>
      </c>
      <c r="E25">
        <v>0</v>
      </c>
      <c r="F25">
        <v>1</v>
      </c>
      <c r="G25">
        <v>0</v>
      </c>
      <c r="H25">
        <v>1</v>
      </c>
    </row>
    <row r="26" spans="1:8" ht="12">
      <c r="A26" t="s">
        <v>1161</v>
      </c>
      <c r="B26">
        <v>0</v>
      </c>
      <c r="C26">
        <v>0</v>
      </c>
      <c r="D26">
        <v>1</v>
      </c>
      <c r="E26">
        <v>0</v>
      </c>
      <c r="F26">
        <v>1</v>
      </c>
      <c r="G26">
        <v>0</v>
      </c>
      <c r="H26">
        <v>0</v>
      </c>
    </row>
    <row r="27" spans="1:8" ht="12">
      <c r="A27" t="s">
        <v>1162</v>
      </c>
      <c r="B27">
        <v>0</v>
      </c>
      <c r="C27">
        <v>0</v>
      </c>
      <c r="D27">
        <v>0</v>
      </c>
      <c r="E27">
        <v>0</v>
      </c>
      <c r="F27">
        <v>1</v>
      </c>
      <c r="G27">
        <v>0</v>
      </c>
      <c r="H27">
        <v>0</v>
      </c>
    </row>
    <row r="28" spans="1:8" ht="12">
      <c r="A28" t="s">
        <v>1163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</row>
    <row r="29" spans="1:8" ht="12">
      <c r="A29" t="s">
        <v>1164</v>
      </c>
      <c r="B29">
        <v>0.05197903</v>
      </c>
      <c r="C29">
        <v>0</v>
      </c>
      <c r="D29">
        <v>0.04777206</v>
      </c>
      <c r="E29">
        <v>0</v>
      </c>
      <c r="F29">
        <v>0.03594523</v>
      </c>
      <c r="G29">
        <v>0</v>
      </c>
      <c r="H29">
        <v>0</v>
      </c>
    </row>
    <row r="30" spans="1:8" ht="12">
      <c r="A30" t="s">
        <v>1165</v>
      </c>
      <c r="B30">
        <v>0.01713454</v>
      </c>
      <c r="C30">
        <v>0</v>
      </c>
      <c r="D30">
        <v>0.03337992</v>
      </c>
      <c r="E30">
        <v>0</v>
      </c>
      <c r="F30">
        <v>0.34446495</v>
      </c>
      <c r="G30">
        <v>0</v>
      </c>
      <c r="H30">
        <v>0</v>
      </c>
    </row>
    <row r="31" spans="1:8" ht="12">
      <c r="A31" t="s">
        <v>1166</v>
      </c>
      <c r="B31">
        <v>0.01204961</v>
      </c>
      <c r="C31">
        <v>0</v>
      </c>
      <c r="D31">
        <v>0.0213536</v>
      </c>
      <c r="E31">
        <v>0</v>
      </c>
      <c r="F31">
        <v>0.33597856</v>
      </c>
      <c r="G31">
        <v>0</v>
      </c>
      <c r="H31">
        <v>0</v>
      </c>
    </row>
    <row r="32" spans="1:8" ht="12">
      <c r="A32" t="s">
        <v>1167</v>
      </c>
      <c r="B32">
        <v>301</v>
      </c>
      <c r="C32">
        <v>0</v>
      </c>
      <c r="D32">
        <v>299</v>
      </c>
      <c r="E32">
        <v>0</v>
      </c>
      <c r="F32">
        <v>299</v>
      </c>
      <c r="G32">
        <v>0</v>
      </c>
      <c r="H32">
        <v>301</v>
      </c>
    </row>
    <row r="33" spans="1:8" ht="12">
      <c r="A33" t="s">
        <v>1168</v>
      </c>
      <c r="B33">
        <v>166</v>
      </c>
      <c r="C33">
        <v>0</v>
      </c>
      <c r="D33">
        <v>164</v>
      </c>
      <c r="E33">
        <v>0</v>
      </c>
      <c r="F33">
        <v>164</v>
      </c>
      <c r="G33">
        <v>0</v>
      </c>
      <c r="H33">
        <v>0</v>
      </c>
    </row>
    <row r="35" spans="2:6" ht="12">
      <c r="B35" t="s">
        <v>1380</v>
      </c>
      <c r="C35" t="s">
        <v>1517</v>
      </c>
      <c r="D35" t="s">
        <v>1518</v>
      </c>
      <c r="E35" t="s">
        <v>1519</v>
      </c>
      <c r="F35" t="s">
        <v>1520</v>
      </c>
    </row>
    <row r="36" spans="1:6" ht="12">
      <c r="A36" t="s">
        <v>1158</v>
      </c>
      <c r="B36">
        <v>2.5142687</v>
      </c>
      <c r="C36">
        <v>5.0323688</v>
      </c>
      <c r="D36">
        <v>2.3913537</v>
      </c>
      <c r="E36">
        <v>7.0357781</v>
      </c>
      <c r="F36">
        <v>1.4420525</v>
      </c>
    </row>
    <row r="37" spans="1:6" ht="12">
      <c r="A37" t="s">
        <v>1159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ht="12">
      <c r="A38" t="s">
        <v>1160</v>
      </c>
      <c r="B38">
        <v>0</v>
      </c>
      <c r="C38">
        <v>1</v>
      </c>
      <c r="D38">
        <v>0</v>
      </c>
      <c r="E38">
        <v>1</v>
      </c>
      <c r="F38">
        <v>0</v>
      </c>
    </row>
    <row r="39" spans="1:6" ht="12">
      <c r="A39" t="s">
        <v>1161</v>
      </c>
      <c r="B39">
        <v>0</v>
      </c>
      <c r="C39">
        <v>1</v>
      </c>
      <c r="D39">
        <v>0</v>
      </c>
      <c r="E39">
        <v>1</v>
      </c>
      <c r="F39">
        <v>0</v>
      </c>
    </row>
    <row r="40" spans="1:6" ht="12">
      <c r="A40" t="s">
        <v>1162</v>
      </c>
      <c r="B40">
        <v>0</v>
      </c>
      <c r="C40">
        <v>0</v>
      </c>
      <c r="D40">
        <v>0</v>
      </c>
      <c r="E40">
        <v>1</v>
      </c>
      <c r="F40">
        <v>0</v>
      </c>
    </row>
    <row r="41" spans="1:6" ht="12">
      <c r="A41" t="s">
        <v>1163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ht="12">
      <c r="A42" t="s">
        <v>1164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ht="12">
      <c r="A43" t="s">
        <v>1165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ht="12">
      <c r="A44" t="s">
        <v>1166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ht="12">
      <c r="A45" t="s">
        <v>1167</v>
      </c>
      <c r="B45">
        <v>0</v>
      </c>
      <c r="C45">
        <v>299</v>
      </c>
      <c r="D45">
        <v>0</v>
      </c>
      <c r="E45">
        <v>299</v>
      </c>
      <c r="F45">
        <v>0</v>
      </c>
    </row>
    <row r="46" spans="1:6" ht="12">
      <c r="A46" t="s">
        <v>1168</v>
      </c>
      <c r="B46">
        <v>0</v>
      </c>
      <c r="C46">
        <v>0</v>
      </c>
      <c r="D46">
        <v>0</v>
      </c>
      <c r="E46">
        <v>0</v>
      </c>
      <c r="F46">
        <v>0</v>
      </c>
    </row>
    <row r="55" ht="12">
      <c r="A55" t="s">
        <v>1710</v>
      </c>
    </row>
    <row r="56" ht="12">
      <c r="A56" t="s">
        <v>1703</v>
      </c>
    </row>
    <row r="57" ht="12">
      <c r="A57" t="s">
        <v>26</v>
      </c>
    </row>
    <row r="58" ht="12">
      <c r="A58" t="s">
        <v>27</v>
      </c>
    </row>
    <row r="59" ht="12">
      <c r="A59" t="s">
        <v>1712</v>
      </c>
    </row>
    <row r="60" ht="12">
      <c r="A60" t="s">
        <v>1706</v>
      </c>
    </row>
    <row r="61" ht="12">
      <c r="A61" t="s">
        <v>38</v>
      </c>
    </row>
    <row r="62" ht="12">
      <c r="A62" t="s">
        <v>39</v>
      </c>
    </row>
    <row r="63" ht="12">
      <c r="A63" t="s">
        <v>1706</v>
      </c>
    </row>
    <row r="64" ht="12">
      <c r="A64" t="s">
        <v>30</v>
      </c>
    </row>
    <row r="65" ht="12">
      <c r="A65" t="s">
        <v>17</v>
      </c>
    </row>
    <row r="66" ht="12">
      <c r="A66" t="s">
        <v>31</v>
      </c>
    </row>
    <row r="67" ht="12">
      <c r="A67" t="s">
        <v>32</v>
      </c>
    </row>
    <row r="68" ht="12">
      <c r="A68" t="s">
        <v>1722</v>
      </c>
    </row>
    <row r="69" ht="12">
      <c r="A69" t="s">
        <v>40</v>
      </c>
    </row>
    <row r="70" ht="12">
      <c r="A70" t="s">
        <v>41</v>
      </c>
    </row>
    <row r="71" ht="12">
      <c r="A71" t="s">
        <v>42</v>
      </c>
    </row>
    <row r="72" ht="12">
      <c r="A72" t="s">
        <v>43</v>
      </c>
    </row>
    <row r="73" ht="12">
      <c r="A73" t="s">
        <v>44</v>
      </c>
    </row>
    <row r="74" ht="12">
      <c r="A74" t="s">
        <v>66</v>
      </c>
    </row>
    <row r="75" ht="12">
      <c r="A75" t="s">
        <v>67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3"/>
  <dimension ref="A1:M75"/>
  <sheetViews>
    <sheetView workbookViewId="0" topLeftCell="A1">
      <selection activeCell="A17" sqref="A17"/>
    </sheetView>
  </sheetViews>
  <sheetFormatPr defaultColWidth="9.00390625" defaultRowHeight="12.75"/>
  <cols>
    <col min="1" max="1" width="14.375" style="0" customWidth="1"/>
  </cols>
  <sheetData>
    <row r="1" spans="1:4" ht="12">
      <c r="A1" t="s">
        <v>1698</v>
      </c>
      <c r="B1">
        <v>3</v>
      </c>
      <c r="C1" t="s">
        <v>1699</v>
      </c>
      <c r="D1">
        <v>6</v>
      </c>
    </row>
    <row r="2" spans="1:2" ht="12">
      <c r="A2" t="s">
        <v>1700</v>
      </c>
      <c r="B2">
        <v>1</v>
      </c>
    </row>
    <row r="3" spans="1:2" ht="12">
      <c r="A3" t="s">
        <v>1701</v>
      </c>
      <c r="B3">
        <v>10</v>
      </c>
    </row>
    <row r="5" spans="1:8" ht="12">
      <c r="A5" t="s">
        <v>149</v>
      </c>
      <c r="H5" t="s">
        <v>1623</v>
      </c>
    </row>
    <row r="6" ht="12">
      <c r="A6" t="s">
        <v>1581</v>
      </c>
    </row>
    <row r="7" spans="2:8" ht="12">
      <c r="B7" t="s">
        <v>1522</v>
      </c>
      <c r="H7" t="s">
        <v>1523</v>
      </c>
    </row>
    <row r="8" spans="2:13" ht="12">
      <c r="B8" s="14" t="s">
        <v>668</v>
      </c>
      <c r="C8" s="14" t="s">
        <v>1524</v>
      </c>
      <c r="D8" s="14" t="s">
        <v>669</v>
      </c>
      <c r="E8" s="14" t="s">
        <v>1524</v>
      </c>
      <c r="F8" s="14" t="s">
        <v>1264</v>
      </c>
      <c r="G8" s="14" t="s">
        <v>1524</v>
      </c>
      <c r="H8" s="14" t="s">
        <v>1265</v>
      </c>
      <c r="I8" s="14" t="s">
        <v>1524</v>
      </c>
      <c r="J8" s="14" t="s">
        <v>1365</v>
      </c>
      <c r="K8" s="14" t="s">
        <v>1524</v>
      </c>
      <c r="L8" s="14" t="s">
        <v>1366</v>
      </c>
      <c r="M8" s="14" t="s">
        <v>1524</v>
      </c>
    </row>
    <row r="9" spans="1:13" ht="12">
      <c r="A9" t="s">
        <v>1530</v>
      </c>
      <c r="B9">
        <f>B23</f>
        <v>0.37024319</v>
      </c>
      <c r="C9">
        <f aca="true" t="shared" si="0" ref="C9:H9">C23</f>
        <v>1.7853563</v>
      </c>
      <c r="D9">
        <f t="shared" si="0"/>
        <v>0.32556385</v>
      </c>
      <c r="E9">
        <f t="shared" si="0"/>
        <v>1.5412383</v>
      </c>
      <c r="F9">
        <f t="shared" si="0"/>
        <v>0.29115739</v>
      </c>
      <c r="G9">
        <f t="shared" si="0"/>
        <v>1.3238722</v>
      </c>
      <c r="H9">
        <f t="shared" si="0"/>
        <v>1.5794098</v>
      </c>
      <c r="I9">
        <f>B36</f>
        <v>1.3971707</v>
      </c>
      <c r="J9">
        <f>C36</f>
        <v>1.1979969</v>
      </c>
      <c r="K9">
        <f>D36</f>
        <v>1.217948</v>
      </c>
      <c r="L9">
        <f>E36</f>
        <v>1.078573</v>
      </c>
      <c r="M9">
        <f>F36</f>
        <v>0.59385392</v>
      </c>
    </row>
    <row r="10" ht="12">
      <c r="A10" t="s">
        <v>1521</v>
      </c>
    </row>
    <row r="11" spans="1:12" ht="12">
      <c r="A11" t="s">
        <v>1579</v>
      </c>
      <c r="B11" t="str">
        <f>IF(B25=1,"Y","N")</f>
        <v>Y</v>
      </c>
      <c r="D11" t="str">
        <f>IF(D25=1,"Y","N")</f>
        <v>Y</v>
      </c>
      <c r="F11" t="str">
        <f>IF(F25=1,"Y","N")</f>
        <v>Y</v>
      </c>
      <c r="H11" t="str">
        <f>IF(H25=1,"Y","N")</f>
        <v>Y</v>
      </c>
      <c r="J11" t="str">
        <f>IF(B38=1,"Y","N")</f>
        <v>N</v>
      </c>
      <c r="L11" t="str">
        <f>IF(D38=1,"Y","N")</f>
        <v>N</v>
      </c>
    </row>
    <row r="12" spans="1:12" ht="12">
      <c r="A12" t="s">
        <v>1580</v>
      </c>
      <c r="B12" t="str">
        <f>IF(B26=1,"Y","N")</f>
        <v>N</v>
      </c>
      <c r="D12" t="str">
        <f>IF(D26=1,"Y","N")</f>
        <v>Y</v>
      </c>
      <c r="F12" t="str">
        <f>IF(F26=1,"Y","N")</f>
        <v>Y</v>
      </c>
      <c r="H12" t="str">
        <f>IF(H26=1,"Y","N")</f>
        <v>N</v>
      </c>
      <c r="J12" t="str">
        <f>IF(B39=1,"Y","N")</f>
        <v>N</v>
      </c>
      <c r="L12" t="str">
        <f>IF(D39=1,"Y","N")</f>
        <v>N</v>
      </c>
    </row>
    <row r="13" spans="1:12" ht="12">
      <c r="A13" t="s">
        <v>1370</v>
      </c>
      <c r="B13" t="str">
        <f>IF(B27=1,"Y","N")</f>
        <v>N</v>
      </c>
      <c r="D13" t="str">
        <f>IF(D27=1,"Y","N")</f>
        <v>N</v>
      </c>
      <c r="F13" t="str">
        <f>IF(F27=1,"Y","N")</f>
        <v>Y</v>
      </c>
      <c r="H13" t="str">
        <f>IF(H27=1,"Y","N")</f>
        <v>N</v>
      </c>
      <c r="J13" t="str">
        <f>IF(B40=1,"Y","N")</f>
        <v>N</v>
      </c>
      <c r="L13" t="str">
        <f>IF(D40=1,"Y","N")</f>
        <v>N</v>
      </c>
    </row>
    <row r="14" ht="12">
      <c r="A14" t="s">
        <v>1371</v>
      </c>
    </row>
    <row r="15" spans="1:6" ht="12">
      <c r="A15" t="s">
        <v>1372</v>
      </c>
      <c r="B15">
        <f>B29</f>
        <v>0.02315202</v>
      </c>
      <c r="D15">
        <f>D29</f>
        <v>0.01809568</v>
      </c>
      <c r="F15">
        <f>F29</f>
        <v>0.01137545</v>
      </c>
    </row>
    <row r="16" spans="1:6" ht="12">
      <c r="A16" t="s">
        <v>1373</v>
      </c>
      <c r="B16">
        <f>B30</f>
        <v>0.0049794</v>
      </c>
      <c r="D16">
        <f>D30</f>
        <v>0.01417002</v>
      </c>
      <c r="F16">
        <f>F30</f>
        <v>0.32698826</v>
      </c>
    </row>
    <row r="17" spans="1:6" ht="12">
      <c r="A17" t="s">
        <v>1374</v>
      </c>
      <c r="B17">
        <f>B31</f>
        <v>0.00548787</v>
      </c>
      <c r="D17">
        <f>D31</f>
        <v>0.01059296</v>
      </c>
      <c r="F17">
        <f>F31</f>
        <v>0.32961738</v>
      </c>
    </row>
    <row r="18" spans="1:12" ht="12">
      <c r="A18" t="s">
        <v>1375</v>
      </c>
      <c r="B18">
        <f>B32</f>
        <v>291</v>
      </c>
      <c r="D18">
        <f>D32</f>
        <v>291</v>
      </c>
      <c r="F18">
        <f>F32</f>
        <v>291</v>
      </c>
      <c r="H18">
        <f>H32</f>
        <v>291</v>
      </c>
      <c r="J18">
        <f>B45</f>
        <v>0</v>
      </c>
      <c r="L18">
        <f>D45</f>
        <v>0</v>
      </c>
    </row>
    <row r="19" spans="1:6" ht="12">
      <c r="A19" t="s">
        <v>1376</v>
      </c>
      <c r="B19">
        <f>B33</f>
        <v>162</v>
      </c>
      <c r="D19">
        <f>D33</f>
        <v>162</v>
      </c>
      <c r="F19">
        <f>F33</f>
        <v>162</v>
      </c>
    </row>
    <row r="20" spans="2:3" ht="12">
      <c r="B20">
        <v>0.0283608</v>
      </c>
      <c r="C20">
        <v>0.2190107</v>
      </c>
    </row>
    <row r="21" spans="2:7" ht="12">
      <c r="B21">
        <f>$B$20*B9</f>
        <v>0.010500393062952</v>
      </c>
      <c r="C21">
        <f>B21/$C$20</f>
        <v>0.047944657785907265</v>
      </c>
      <c r="D21">
        <f>$B$20*D9</f>
        <v>0.00923325123708</v>
      </c>
      <c r="E21">
        <f>D21/$C$20</f>
        <v>0.04215890473424357</v>
      </c>
      <c r="F21">
        <f>$B$20*F9</f>
        <v>0.008257456506312</v>
      </c>
      <c r="G21">
        <f>F21/$C$20</f>
        <v>0.03770343871925892</v>
      </c>
    </row>
    <row r="22" spans="2:8" ht="12">
      <c r="B22" t="s">
        <v>1154</v>
      </c>
      <c r="C22" t="s">
        <v>1155</v>
      </c>
      <c r="D22" t="s">
        <v>1156</v>
      </c>
      <c r="E22" t="s">
        <v>1157</v>
      </c>
      <c r="F22" t="s">
        <v>1377</v>
      </c>
      <c r="G22" t="s">
        <v>1378</v>
      </c>
      <c r="H22" t="s">
        <v>1379</v>
      </c>
    </row>
    <row r="23" spans="1:8" ht="12">
      <c r="A23" t="s">
        <v>1158</v>
      </c>
      <c r="B23">
        <v>0.37024319</v>
      </c>
      <c r="C23">
        <v>1.7853563</v>
      </c>
      <c r="D23">
        <v>0.32556385</v>
      </c>
      <c r="E23">
        <v>1.5412383</v>
      </c>
      <c r="F23">
        <v>0.29115739</v>
      </c>
      <c r="G23">
        <v>1.3238722</v>
      </c>
      <c r="H23">
        <v>1.5794098</v>
      </c>
    </row>
    <row r="24" spans="1:8" ht="12">
      <c r="A24" t="s">
        <v>1159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1:8" ht="12">
      <c r="A25" t="s">
        <v>1160</v>
      </c>
      <c r="B25">
        <v>1</v>
      </c>
      <c r="C25">
        <v>0</v>
      </c>
      <c r="D25">
        <v>1</v>
      </c>
      <c r="E25">
        <v>0</v>
      </c>
      <c r="F25">
        <v>1</v>
      </c>
      <c r="G25">
        <v>0</v>
      </c>
      <c r="H25">
        <v>1</v>
      </c>
    </row>
    <row r="26" spans="1:8" ht="12">
      <c r="A26" t="s">
        <v>1161</v>
      </c>
      <c r="B26">
        <v>0</v>
      </c>
      <c r="C26">
        <v>0</v>
      </c>
      <c r="D26">
        <v>1</v>
      </c>
      <c r="E26">
        <v>0</v>
      </c>
      <c r="F26">
        <v>1</v>
      </c>
      <c r="G26">
        <v>0</v>
      </c>
      <c r="H26">
        <v>0</v>
      </c>
    </row>
    <row r="27" spans="1:8" ht="12">
      <c r="A27" t="s">
        <v>1162</v>
      </c>
      <c r="B27">
        <v>0</v>
      </c>
      <c r="C27">
        <v>0</v>
      </c>
      <c r="D27">
        <v>0</v>
      </c>
      <c r="E27">
        <v>0</v>
      </c>
      <c r="F27">
        <v>1</v>
      </c>
      <c r="G27">
        <v>0</v>
      </c>
      <c r="H27">
        <v>0</v>
      </c>
    </row>
    <row r="28" spans="1:8" ht="12">
      <c r="A28" t="s">
        <v>1163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</row>
    <row r="29" spans="1:8" ht="12">
      <c r="A29" t="s">
        <v>1164</v>
      </c>
      <c r="B29">
        <v>0.02315202</v>
      </c>
      <c r="C29">
        <v>0</v>
      </c>
      <c r="D29">
        <v>0.01809568</v>
      </c>
      <c r="E29">
        <v>0</v>
      </c>
      <c r="F29">
        <v>0.01137545</v>
      </c>
      <c r="G29">
        <v>0</v>
      </c>
      <c r="H29">
        <v>0</v>
      </c>
    </row>
    <row r="30" spans="1:8" ht="12">
      <c r="A30" t="s">
        <v>1165</v>
      </c>
      <c r="B30">
        <v>0.0049794</v>
      </c>
      <c r="C30">
        <v>0</v>
      </c>
      <c r="D30">
        <v>0.01417002</v>
      </c>
      <c r="E30">
        <v>0</v>
      </c>
      <c r="F30">
        <v>0.32698826</v>
      </c>
      <c r="G30">
        <v>0</v>
      </c>
      <c r="H30">
        <v>0</v>
      </c>
    </row>
    <row r="31" spans="1:8" ht="12">
      <c r="A31" t="s">
        <v>1166</v>
      </c>
      <c r="B31">
        <v>0.00548787</v>
      </c>
      <c r="C31">
        <v>0</v>
      </c>
      <c r="D31">
        <v>0.01059296</v>
      </c>
      <c r="E31">
        <v>0</v>
      </c>
      <c r="F31">
        <v>0.32961738</v>
      </c>
      <c r="G31">
        <v>0</v>
      </c>
      <c r="H31">
        <v>0</v>
      </c>
    </row>
    <row r="32" spans="1:8" ht="12">
      <c r="A32" t="s">
        <v>1167</v>
      </c>
      <c r="B32">
        <v>291</v>
      </c>
      <c r="C32">
        <v>0</v>
      </c>
      <c r="D32">
        <v>291</v>
      </c>
      <c r="E32">
        <v>0</v>
      </c>
      <c r="F32">
        <v>291</v>
      </c>
      <c r="G32">
        <v>0</v>
      </c>
      <c r="H32">
        <v>291</v>
      </c>
    </row>
    <row r="33" spans="1:8" ht="12">
      <c r="A33" t="s">
        <v>1168</v>
      </c>
      <c r="B33">
        <v>162</v>
      </c>
      <c r="C33">
        <v>0</v>
      </c>
      <c r="D33">
        <v>162</v>
      </c>
      <c r="E33">
        <v>0</v>
      </c>
      <c r="F33">
        <v>162</v>
      </c>
      <c r="G33">
        <v>0</v>
      </c>
      <c r="H33">
        <v>0</v>
      </c>
    </row>
    <row r="35" spans="2:6" ht="12">
      <c r="B35" t="s">
        <v>1380</v>
      </c>
      <c r="C35" t="s">
        <v>1517</v>
      </c>
      <c r="D35" t="s">
        <v>1518</v>
      </c>
      <c r="E35" t="s">
        <v>1519</v>
      </c>
      <c r="F35" t="s">
        <v>1520</v>
      </c>
    </row>
    <row r="36" spans="1:6" ht="12">
      <c r="A36" t="s">
        <v>1158</v>
      </c>
      <c r="B36">
        <v>1.3971707</v>
      </c>
      <c r="C36">
        <v>1.1979969</v>
      </c>
      <c r="D36">
        <v>1.217948</v>
      </c>
      <c r="E36">
        <v>1.078573</v>
      </c>
      <c r="F36">
        <v>0.59385392</v>
      </c>
    </row>
    <row r="37" spans="1:6" ht="12">
      <c r="A37" t="s">
        <v>1159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ht="12">
      <c r="A38" t="s">
        <v>1160</v>
      </c>
      <c r="B38">
        <v>0</v>
      </c>
      <c r="C38">
        <v>1</v>
      </c>
      <c r="D38">
        <v>0</v>
      </c>
      <c r="E38">
        <v>1</v>
      </c>
      <c r="F38">
        <v>0</v>
      </c>
    </row>
    <row r="39" spans="1:6" ht="12">
      <c r="A39" t="s">
        <v>1161</v>
      </c>
      <c r="B39">
        <v>0</v>
      </c>
      <c r="C39">
        <v>1</v>
      </c>
      <c r="D39">
        <v>0</v>
      </c>
      <c r="E39">
        <v>1</v>
      </c>
      <c r="F39">
        <v>0</v>
      </c>
    </row>
    <row r="40" spans="1:6" ht="12">
      <c r="A40" t="s">
        <v>1162</v>
      </c>
      <c r="B40">
        <v>0</v>
      </c>
      <c r="C40">
        <v>0</v>
      </c>
      <c r="D40">
        <v>0</v>
      </c>
      <c r="E40">
        <v>1</v>
      </c>
      <c r="F40">
        <v>0</v>
      </c>
    </row>
    <row r="41" spans="1:6" ht="12">
      <c r="A41" t="s">
        <v>1163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ht="12">
      <c r="A42" t="s">
        <v>1164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ht="12">
      <c r="A43" t="s">
        <v>1165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ht="12">
      <c r="A44" t="s">
        <v>1166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ht="12">
      <c r="A45" t="s">
        <v>1167</v>
      </c>
      <c r="B45">
        <v>0</v>
      </c>
      <c r="C45">
        <v>291</v>
      </c>
      <c r="D45">
        <v>0</v>
      </c>
      <c r="E45">
        <v>291</v>
      </c>
      <c r="F45">
        <v>0</v>
      </c>
    </row>
    <row r="46" spans="1:6" ht="12">
      <c r="A46" t="s">
        <v>1168</v>
      </c>
      <c r="B46">
        <v>0</v>
      </c>
      <c r="C46">
        <v>0</v>
      </c>
      <c r="D46">
        <v>0</v>
      </c>
      <c r="E46">
        <v>0</v>
      </c>
      <c r="F46">
        <v>0</v>
      </c>
    </row>
    <row r="55" ht="12">
      <c r="A55" t="s">
        <v>1710</v>
      </c>
    </row>
    <row r="56" ht="12">
      <c r="A56" t="s">
        <v>1703</v>
      </c>
    </row>
    <row r="57" ht="12">
      <c r="A57" t="s">
        <v>26</v>
      </c>
    </row>
    <row r="58" ht="12">
      <c r="A58" t="s">
        <v>27</v>
      </c>
    </row>
    <row r="59" ht="12">
      <c r="A59" t="s">
        <v>1712</v>
      </c>
    </row>
    <row r="60" ht="12">
      <c r="A60" t="s">
        <v>1706</v>
      </c>
    </row>
    <row r="61" ht="12">
      <c r="A61" t="s">
        <v>45</v>
      </c>
    </row>
    <row r="62" ht="12">
      <c r="A62" t="s">
        <v>46</v>
      </c>
    </row>
    <row r="63" ht="12">
      <c r="A63" t="s">
        <v>1706</v>
      </c>
    </row>
    <row r="64" ht="12">
      <c r="A64" t="s">
        <v>30</v>
      </c>
    </row>
    <row r="65" ht="12">
      <c r="A65" t="s">
        <v>17</v>
      </c>
    </row>
    <row r="66" ht="12">
      <c r="A66" t="s">
        <v>31</v>
      </c>
    </row>
    <row r="67" ht="12">
      <c r="A67" t="s">
        <v>32</v>
      </c>
    </row>
    <row r="68" ht="12">
      <c r="A68" t="s">
        <v>1722</v>
      </c>
    </row>
    <row r="69" ht="12">
      <c r="A69" t="s">
        <v>47</v>
      </c>
    </row>
    <row r="70" ht="12">
      <c r="A70" t="s">
        <v>49</v>
      </c>
    </row>
    <row r="71" ht="12">
      <c r="A71" t="s">
        <v>50</v>
      </c>
    </row>
    <row r="72" ht="12">
      <c r="A72" t="s">
        <v>51</v>
      </c>
    </row>
    <row r="73" ht="12">
      <c r="A73" t="s">
        <v>52</v>
      </c>
    </row>
    <row r="74" ht="12">
      <c r="A74" t="s">
        <v>66</v>
      </c>
    </row>
    <row r="75" ht="12">
      <c r="A75" t="s">
        <v>67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4"/>
  <dimension ref="A4:G21"/>
  <sheetViews>
    <sheetView workbookViewId="0" topLeftCell="A4">
      <selection activeCell="G7" sqref="G7"/>
    </sheetView>
  </sheetViews>
  <sheetFormatPr defaultColWidth="9.00390625" defaultRowHeight="12.75"/>
  <cols>
    <col min="1" max="1" width="12.50390625" style="0" customWidth="1"/>
    <col min="2" max="2" width="9.875" style="0" customWidth="1"/>
    <col min="4" max="4" width="9.875" style="0" customWidth="1"/>
    <col min="5" max="5" width="10.875" style="0" customWidth="1"/>
    <col min="6" max="6" width="10.50390625" style="0" customWidth="1"/>
    <col min="7" max="7" width="9.50390625" style="0" customWidth="1"/>
  </cols>
  <sheetData>
    <row r="4" spans="2:7" ht="17.25" customHeight="1">
      <c r="B4" s="63" t="s">
        <v>1676</v>
      </c>
      <c r="C4" s="63"/>
      <c r="D4" s="63"/>
      <c r="E4" s="63"/>
      <c r="F4" s="63"/>
      <c r="G4" s="63"/>
    </row>
    <row r="5" spans="1:7" ht="24.75">
      <c r="A5" s="1" t="s">
        <v>1677</v>
      </c>
      <c r="B5" s="47" t="str">
        <f>CONCATENATE(TEXT(Table_9!D9,"0.000"),"    (",TEXT(Table_9!D9/Table_9!E9,"0.000"),")***")</f>
        <v>0.104    (0.044)***</v>
      </c>
      <c r="C5" s="47" t="str">
        <f>CONCATENATE(TEXT(Table_9!F9,"0.000"),"    (",TEXT(Table_9!F9/Table_9!G9,"0.000"),")**")</f>
        <v>0.086    (0.044)**</v>
      </c>
      <c r="D5" s="42"/>
      <c r="E5" s="42"/>
      <c r="F5" s="42"/>
      <c r="G5" s="42"/>
    </row>
    <row r="6" spans="1:7" ht="24.75">
      <c r="A6" s="1" t="s">
        <v>1665</v>
      </c>
      <c r="B6" s="42"/>
      <c r="C6" s="42"/>
      <c r="D6" s="42" t="str">
        <f>CONCATENATE(TEXT(Table_9a!D9,"0.000"),"    (",TEXT(Table_9a!D9/Table_9a!E9,"0.000"),")***")</f>
        <v>0.861    (0.303)***</v>
      </c>
      <c r="E6" s="42" t="str">
        <f>CONCATENATE(TEXT(Table_9a!F9,"0.000"),"    (",TEXT(Table_9a!F9/Table_9a!G9,"0.000"),")**")</f>
        <v>0.679    (0.309)**</v>
      </c>
      <c r="F6" s="42"/>
      <c r="G6" s="42"/>
    </row>
    <row r="7" spans="1:7" ht="24.75">
      <c r="A7" s="1" t="s">
        <v>1668</v>
      </c>
      <c r="B7" s="42"/>
      <c r="C7" s="42"/>
      <c r="D7" s="42"/>
      <c r="E7" s="42"/>
      <c r="F7" s="42" t="str">
        <f>CONCATENATE(TEXT(Table_9b!D9,"0.000"),"    (",TEXT(Table_9b!D9/Table_9b!E9,"0.000"),")**")</f>
        <v>0.326    (0.211)**</v>
      </c>
      <c r="G7" s="42" t="str">
        <f>CONCATENATE(TEXT(Table_9b!F9,"0.000"),"    (",TEXT(Table_9b!F9/Table_9b!G9,"0.000"),")*")</f>
        <v>0.291    (0.220)*</v>
      </c>
    </row>
    <row r="8" spans="1:7" ht="12">
      <c r="A8" t="s">
        <v>1369</v>
      </c>
      <c r="B8" s="51"/>
      <c r="C8" s="51"/>
      <c r="D8" s="51"/>
      <c r="E8" s="51"/>
      <c r="F8" s="51"/>
      <c r="G8" s="51"/>
    </row>
    <row r="9" spans="1:7" ht="12">
      <c r="A9" t="s">
        <v>1579</v>
      </c>
      <c r="B9" s="51" t="s">
        <v>1381</v>
      </c>
      <c r="C9" s="51" t="s">
        <v>1381</v>
      </c>
      <c r="D9" s="51" t="s">
        <v>1381</v>
      </c>
      <c r="E9" s="51" t="s">
        <v>1381</v>
      </c>
      <c r="F9" s="51" t="s">
        <v>1381</v>
      </c>
      <c r="G9" s="51" t="s">
        <v>1381</v>
      </c>
    </row>
    <row r="10" spans="1:7" ht="12">
      <c r="A10" t="s">
        <v>1647</v>
      </c>
      <c r="B10" s="51" t="s">
        <v>1381</v>
      </c>
      <c r="C10" s="51" t="s">
        <v>1381</v>
      </c>
      <c r="D10" s="51" t="s">
        <v>1381</v>
      </c>
      <c r="E10" s="51" t="s">
        <v>1381</v>
      </c>
      <c r="F10" s="51" t="s">
        <v>1381</v>
      </c>
      <c r="G10" s="51" t="s">
        <v>1381</v>
      </c>
    </row>
    <row r="11" spans="1:7" ht="12">
      <c r="A11" t="s">
        <v>1370</v>
      </c>
      <c r="B11" s="51" t="s">
        <v>666</v>
      </c>
      <c r="C11" s="51" t="s">
        <v>1381</v>
      </c>
      <c r="D11" s="51" t="s">
        <v>666</v>
      </c>
      <c r="E11" s="51" t="s">
        <v>1381</v>
      </c>
      <c r="F11" s="51" t="s">
        <v>666</v>
      </c>
      <c r="G11" s="51" t="s">
        <v>1381</v>
      </c>
    </row>
    <row r="12" spans="1:7" ht="12">
      <c r="A12" t="s">
        <v>1371</v>
      </c>
      <c r="B12" s="52">
        <f>Table_9!D17</f>
        <v>0.02678004</v>
      </c>
      <c r="C12" s="52">
        <f>Table_9!F17</f>
        <v>0.35185699</v>
      </c>
      <c r="D12" s="52">
        <f>Table_9a!D17</f>
        <v>0.0213536</v>
      </c>
      <c r="E12" s="52">
        <f>Table_9a!F17</f>
        <v>0.33597856</v>
      </c>
      <c r="F12" s="52">
        <f>Table_9b!D17</f>
        <v>0.01059296</v>
      </c>
      <c r="G12" s="52">
        <f>Table_9b!F17</f>
        <v>0.32961738</v>
      </c>
    </row>
    <row r="13" spans="1:7" ht="12">
      <c r="A13" t="s">
        <v>1375</v>
      </c>
      <c r="B13" s="51">
        <f>Table_9!B18</f>
        <v>294</v>
      </c>
      <c r="C13" s="51">
        <f>Table_9!D18</f>
        <v>294</v>
      </c>
      <c r="D13" s="51">
        <f>Table_9a!D18</f>
        <v>299</v>
      </c>
      <c r="E13" s="51">
        <f>Table_9a!F18</f>
        <v>299</v>
      </c>
      <c r="F13" s="51">
        <f>Table_9b!D18</f>
        <v>291</v>
      </c>
      <c r="G13" s="51">
        <f>Table_9b!F18</f>
        <v>291</v>
      </c>
    </row>
    <row r="14" spans="1:7" ht="12">
      <c r="A14" t="s">
        <v>1376</v>
      </c>
      <c r="B14" s="51">
        <f>Table_9!B19</f>
        <v>163</v>
      </c>
      <c r="C14" s="51">
        <f>Table_9!D19</f>
        <v>163</v>
      </c>
      <c r="D14" s="51">
        <f>Table_9a!D19</f>
        <v>164</v>
      </c>
      <c r="E14" s="51">
        <f>Table_9a!F19</f>
        <v>164</v>
      </c>
      <c r="F14" s="51">
        <f>Table_9b!D19</f>
        <v>162</v>
      </c>
      <c r="G14" s="51">
        <f>Table_9b!F19</f>
        <v>162</v>
      </c>
    </row>
    <row r="15" spans="2:7" ht="12">
      <c r="B15" s="51"/>
      <c r="C15" s="51"/>
      <c r="D15" s="51"/>
      <c r="E15" s="51"/>
      <c r="F15" s="51"/>
      <c r="G15" s="51"/>
    </row>
    <row r="16" spans="3:7" ht="12">
      <c r="C16">
        <v>0.138</v>
      </c>
      <c r="E16">
        <v>0.668</v>
      </c>
      <c r="G16">
        <v>0.542</v>
      </c>
    </row>
    <row r="17" spans="2:7" ht="12">
      <c r="B17" t="s">
        <v>1678</v>
      </c>
      <c r="C17">
        <v>0.192</v>
      </c>
      <c r="E17">
        <v>0.026</v>
      </c>
      <c r="G17">
        <v>0.027</v>
      </c>
    </row>
    <row r="18" spans="3:7" ht="12">
      <c r="C18">
        <f>C17*C16</f>
        <v>0.026496000000000002</v>
      </c>
      <c r="E18">
        <f>E17*E16</f>
        <v>0.017368</v>
      </c>
      <c r="G18">
        <f>G17*G16</f>
        <v>0.014634000000000001</v>
      </c>
    </row>
    <row r="20" spans="3:7" ht="12">
      <c r="C20">
        <v>0.219</v>
      </c>
      <c r="E20">
        <v>0.219</v>
      </c>
      <c r="G20">
        <v>0.219</v>
      </c>
    </row>
    <row r="21" spans="3:7" ht="12">
      <c r="C21">
        <f>C18/C20</f>
        <v>0.12098630136986302</v>
      </c>
      <c r="E21">
        <f>E18/E20</f>
        <v>0.07930593607305937</v>
      </c>
      <c r="G21">
        <f>G18/G20</f>
        <v>0.06682191780821918</v>
      </c>
    </row>
  </sheetData>
  <mergeCells count="1">
    <mergeCell ref="B4:G4"/>
  </mergeCells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3"/>
  <dimension ref="A1:H502"/>
  <sheetViews>
    <sheetView workbookViewId="0" topLeftCell="A1">
      <selection activeCell="C8" sqref="C8"/>
    </sheetView>
  </sheetViews>
  <sheetFormatPr defaultColWidth="9.00390625" defaultRowHeight="12.75"/>
  <cols>
    <col min="1" max="1" width="4.625" style="3" customWidth="1"/>
    <col min="2" max="2" width="24.00390625" style="4" customWidth="1"/>
    <col min="3" max="3" width="10.875" style="3" customWidth="1"/>
    <col min="4" max="4" width="9.625" style="3" customWidth="1"/>
    <col min="5" max="5" width="9.125" style="3" customWidth="1"/>
    <col min="6" max="6" width="8.00390625" style="3" customWidth="1"/>
    <col min="7" max="7" width="9.50390625" style="3" customWidth="1"/>
    <col min="8" max="8" width="10.00390625" style="3" customWidth="1"/>
    <col min="9" max="16384" width="8.875" style="3" customWidth="1"/>
  </cols>
  <sheetData>
    <row r="1" ht="15.75" customHeight="1">
      <c r="A1" s="3" t="s">
        <v>1278</v>
      </c>
    </row>
    <row r="2" spans="1:8" ht="34.5">
      <c r="A2" s="4" t="s">
        <v>666</v>
      </c>
      <c r="B2" s="4" t="s">
        <v>656</v>
      </c>
      <c r="C2" s="4" t="s">
        <v>1277</v>
      </c>
      <c r="D2" s="4" t="s">
        <v>1273</v>
      </c>
      <c r="E2" s="4" t="s">
        <v>688</v>
      </c>
      <c r="F2" s="4" t="s">
        <v>1274</v>
      </c>
      <c r="G2" s="4" t="s">
        <v>1275</v>
      </c>
      <c r="H2" s="4" t="s">
        <v>1276</v>
      </c>
    </row>
    <row r="3" spans="1:8" ht="22.5">
      <c r="A3" s="3">
        <v>1</v>
      </c>
      <c r="B3" s="4" t="s">
        <v>184</v>
      </c>
      <c r="C3" s="3">
        <v>7701242900</v>
      </c>
      <c r="D3" s="5">
        <f>55922419167.66/(30*1000000)</f>
        <v>1864.0806389220002</v>
      </c>
      <c r="E3" s="5">
        <f>44964936193.73/(30*1000000)</f>
        <v>1498.8312064576667</v>
      </c>
      <c r="F3" s="5">
        <f>3989297/(30*1000000)</f>
        <v>0.13297656666666666</v>
      </c>
      <c r="G3" s="6">
        <v>37630</v>
      </c>
      <c r="H3" s="6">
        <v>38352</v>
      </c>
    </row>
    <row r="4" spans="1:8" ht="11.25">
      <c r="A4" s="3">
        <f>1+A3</f>
        <v>2</v>
      </c>
      <c r="B4" s="4" t="s">
        <v>588</v>
      </c>
      <c r="C4" s="3">
        <v>7719257801</v>
      </c>
      <c r="D4" s="5">
        <f>51452315856.88/(30*1000000)</f>
        <v>1715.0771952293333</v>
      </c>
      <c r="E4" s="5">
        <f>541826930.38/(30*1000000)</f>
        <v>18.060897679333333</v>
      </c>
      <c r="F4" s="5">
        <f>25/(30*1000000)</f>
        <v>8.333333333333333E-07</v>
      </c>
      <c r="G4" s="6">
        <v>37754</v>
      </c>
      <c r="H4" s="6">
        <v>38112</v>
      </c>
    </row>
    <row r="5" spans="1:8" ht="11.25">
      <c r="A5" s="3">
        <f aca="true" t="shared" si="0" ref="A5:A68">1+A4</f>
        <v>3</v>
      </c>
      <c r="B5" s="4" t="s">
        <v>417</v>
      </c>
      <c r="C5" s="3">
        <v>7722162170</v>
      </c>
      <c r="D5" s="5">
        <f>36616178490.53/(30*1000000)</f>
        <v>1220.5392830176665</v>
      </c>
      <c r="E5" s="5">
        <f>1777254918.29/(30*1000000)</f>
        <v>59.241830609666664</v>
      </c>
      <c r="F5" s="5">
        <f>1340/(30*1000000)</f>
        <v>4.4666666666666664E-05</v>
      </c>
      <c r="G5" s="6">
        <v>37657</v>
      </c>
      <c r="H5" s="6">
        <v>38351</v>
      </c>
    </row>
    <row r="6" spans="1:8" ht="11.25">
      <c r="A6" s="3">
        <f t="shared" si="0"/>
        <v>4</v>
      </c>
      <c r="B6" s="4" t="s">
        <v>173</v>
      </c>
      <c r="C6" s="3">
        <v>6714021624</v>
      </c>
      <c r="D6" s="5">
        <f>33256353734.28/(30*1000000)</f>
        <v>1108.545124476</v>
      </c>
      <c r="E6" s="5">
        <f>32774681973.19/(30*1000000)</f>
        <v>1092.4893991063334</v>
      </c>
      <c r="F6" s="5">
        <f>2461/(30*1000000)</f>
        <v>8.203333333333334E-05</v>
      </c>
      <c r="G6" s="6">
        <v>37965</v>
      </c>
      <c r="H6" s="6">
        <v>38352</v>
      </c>
    </row>
    <row r="7" spans="1:8" ht="11.25">
      <c r="A7" s="3">
        <f t="shared" si="0"/>
        <v>5</v>
      </c>
      <c r="B7" s="4" t="s">
        <v>365</v>
      </c>
      <c r="C7" s="3">
        <v>7710404466</v>
      </c>
      <c r="D7" s="5">
        <f>31220350465.42/(30*1000000)</f>
        <v>1040.6783488473334</v>
      </c>
      <c r="E7" s="5">
        <f>15317448223.64/(30*1000000)</f>
        <v>510.58160745466665</v>
      </c>
      <c r="F7" s="5">
        <f>3348510/(30*1000000)</f>
        <v>0.111617</v>
      </c>
      <c r="G7" s="6">
        <v>37629</v>
      </c>
      <c r="H7" s="6">
        <v>38351</v>
      </c>
    </row>
    <row r="8" spans="1:8" ht="22.5">
      <c r="A8" s="3">
        <f t="shared" si="0"/>
        <v>6</v>
      </c>
      <c r="B8" s="4" t="s">
        <v>593</v>
      </c>
      <c r="C8" s="3">
        <v>7730164220</v>
      </c>
      <c r="D8" s="5">
        <f>30198798071.92/(30*1000000)</f>
        <v>1006.6266023973333</v>
      </c>
      <c r="E8" s="5">
        <f>7549170475.82/(30*1000000)</f>
        <v>251.63901586066666</v>
      </c>
      <c r="F8" s="5">
        <f>3333229/(30*1000000)</f>
        <v>0.11110763333333333</v>
      </c>
      <c r="G8" s="6">
        <v>37770</v>
      </c>
      <c r="H8" s="6">
        <v>38351</v>
      </c>
    </row>
    <row r="9" spans="1:8" ht="11.25">
      <c r="A9" s="3">
        <f t="shared" si="0"/>
        <v>7</v>
      </c>
      <c r="B9" s="4" t="s">
        <v>581</v>
      </c>
      <c r="C9" s="3">
        <v>7715387461</v>
      </c>
      <c r="D9" s="5">
        <f>28911768667.39/(30*1000000)</f>
        <v>963.7256222463333</v>
      </c>
      <c r="E9" s="5">
        <f>551737862.86/(30*1000000)</f>
        <v>18.391262095333335</v>
      </c>
      <c r="F9" s="5">
        <f>813/(30*1000000)</f>
        <v>2.71E-05</v>
      </c>
      <c r="G9" s="6">
        <v>37973</v>
      </c>
      <c r="H9" s="6">
        <v>38131</v>
      </c>
    </row>
    <row r="10" spans="1:8" ht="11.25">
      <c r="A10" s="3">
        <f t="shared" si="0"/>
        <v>8</v>
      </c>
      <c r="B10" s="4" t="s">
        <v>303</v>
      </c>
      <c r="C10" s="3">
        <v>7705511399</v>
      </c>
      <c r="D10" s="5">
        <f>27767273685.44/(30*1000000)</f>
        <v>925.5757895146667</v>
      </c>
      <c r="E10" s="5">
        <f>4601945510.29/(30*1000000)</f>
        <v>153.39818367633333</v>
      </c>
      <c r="F10" s="5">
        <f>449722/(30*1000000)</f>
        <v>0.014990733333333334</v>
      </c>
      <c r="G10" s="6">
        <v>37949</v>
      </c>
      <c r="H10" s="6">
        <v>38329</v>
      </c>
    </row>
    <row r="11" spans="1:8" ht="11.25">
      <c r="A11" s="3">
        <f t="shared" si="0"/>
        <v>9</v>
      </c>
      <c r="B11" s="4" t="s">
        <v>1337</v>
      </c>
      <c r="C11" s="3">
        <v>7713317934</v>
      </c>
      <c r="D11" s="5">
        <f>26598590972.97/(30*1000000)</f>
        <v>886.6196990990001</v>
      </c>
      <c r="E11" s="5">
        <f>17433655715.92/(30*1000000)</f>
        <v>581.1218571973333</v>
      </c>
      <c r="F11" s="5">
        <f>12702/(30*1000000)</f>
        <v>0.0004234</v>
      </c>
      <c r="G11" s="6">
        <v>37626</v>
      </c>
      <c r="H11" s="6">
        <v>38308</v>
      </c>
    </row>
    <row r="12" spans="1:8" ht="11.25">
      <c r="A12" s="3">
        <f t="shared" si="0"/>
        <v>10</v>
      </c>
      <c r="B12" s="4" t="s">
        <v>1362</v>
      </c>
      <c r="C12" s="3">
        <v>7710233563</v>
      </c>
      <c r="D12" s="5">
        <f>25620070143.35/(30*1000000)</f>
        <v>854.0023381116666</v>
      </c>
      <c r="E12" s="5">
        <f>23209239216.19/(30*1000000)</f>
        <v>773.6413072063333</v>
      </c>
      <c r="F12" s="5">
        <f>128601/(30*1000000)</f>
        <v>0.0042867</v>
      </c>
      <c r="G12" s="6">
        <v>37641</v>
      </c>
      <c r="H12" s="6">
        <v>37952</v>
      </c>
    </row>
    <row r="13" spans="1:8" ht="11.25">
      <c r="A13" s="3">
        <f t="shared" si="0"/>
        <v>11</v>
      </c>
      <c r="B13" s="4" t="s">
        <v>272</v>
      </c>
      <c r="C13" s="3">
        <v>7705449856</v>
      </c>
      <c r="D13" s="5">
        <f>24627219531.12/(30*1000000)</f>
        <v>820.907317704</v>
      </c>
      <c r="E13" s="5">
        <f>5499259614.17/(30*1000000)</f>
        <v>183.30865380566667</v>
      </c>
      <c r="F13" s="5">
        <f>1215316/(30*1000000)</f>
        <v>0.040510533333333335</v>
      </c>
      <c r="G13" s="6">
        <v>37673</v>
      </c>
      <c r="H13" s="6">
        <v>38352</v>
      </c>
    </row>
    <row r="14" spans="1:8" ht="11.25">
      <c r="A14" s="3">
        <f t="shared" si="0"/>
        <v>12</v>
      </c>
      <c r="B14" s="4" t="s">
        <v>297</v>
      </c>
      <c r="C14" s="3">
        <v>7705488380</v>
      </c>
      <c r="D14" s="5">
        <f>23856777169.33/(30*1000000)</f>
        <v>795.2259056443334</v>
      </c>
      <c r="E14" s="5">
        <f>4727326476.46/(30*1000000)</f>
        <v>157.57754921533333</v>
      </c>
      <c r="F14" s="5">
        <f>905960/(30*1000000)</f>
        <v>0.030198666666666665</v>
      </c>
      <c r="G14" s="6">
        <v>37757</v>
      </c>
      <c r="H14" s="6">
        <v>38062</v>
      </c>
    </row>
    <row r="15" spans="1:8" ht="11.25">
      <c r="A15" s="3">
        <f t="shared" si="0"/>
        <v>13</v>
      </c>
      <c r="B15" s="4" t="s">
        <v>254</v>
      </c>
      <c r="C15" s="3">
        <v>7701535783</v>
      </c>
      <c r="D15" s="5">
        <f>23231206147.33/(30*1000000)</f>
        <v>774.3735382443334</v>
      </c>
      <c r="E15" s="5">
        <f>762968051.17/(30*1000000)</f>
        <v>25.432268372333333</v>
      </c>
      <c r="F15" s="5">
        <f>1012107/(30*1000000)</f>
        <v>0.0337369</v>
      </c>
      <c r="G15" s="6">
        <v>38127</v>
      </c>
      <c r="H15" s="6">
        <v>38314</v>
      </c>
    </row>
    <row r="16" spans="1:8" ht="11.25">
      <c r="A16" s="3">
        <f t="shared" si="0"/>
        <v>14</v>
      </c>
      <c r="B16" s="4" t="s">
        <v>383</v>
      </c>
      <c r="C16" s="3">
        <v>7715519615</v>
      </c>
      <c r="D16" s="5">
        <f>21468831230.55/(30*1000000)</f>
        <v>715.627707685</v>
      </c>
      <c r="E16" s="5">
        <f>780274059.19/(30*1000000)</f>
        <v>26.009135306333334</v>
      </c>
      <c r="F16" s="5">
        <f>147814/(30*1000000)</f>
        <v>0.004927133333333333</v>
      </c>
      <c r="G16" s="6">
        <v>38125</v>
      </c>
      <c r="H16" s="6">
        <v>38345</v>
      </c>
    </row>
    <row r="17" spans="1:8" ht="11.25">
      <c r="A17" s="3">
        <f t="shared" si="0"/>
        <v>15</v>
      </c>
      <c r="B17" s="4" t="s">
        <v>554</v>
      </c>
      <c r="C17" s="3">
        <v>7709535560</v>
      </c>
      <c r="D17" s="5">
        <f>21411833799.85/(30*1000000)</f>
        <v>713.7277933283333</v>
      </c>
      <c r="E17" s="5">
        <f>345317835.49/(30*1000000)</f>
        <v>11.510594516333335</v>
      </c>
      <c r="F17" s="5">
        <f>285/(30*1000000)</f>
        <v>9.5E-06</v>
      </c>
      <c r="G17" s="6">
        <v>38084</v>
      </c>
      <c r="H17" s="6">
        <v>38352</v>
      </c>
    </row>
    <row r="18" spans="1:8" ht="22.5">
      <c r="A18" s="3">
        <f t="shared" si="0"/>
        <v>16</v>
      </c>
      <c r="B18" s="4" t="s">
        <v>358</v>
      </c>
      <c r="C18" s="3">
        <v>7706503633</v>
      </c>
      <c r="D18" s="5">
        <f>20817940389.68/(30*1000000)</f>
        <v>693.9313463226666</v>
      </c>
      <c r="E18" s="5">
        <f>1325783685.74/(30*1000000)</f>
        <v>44.192789524666665</v>
      </c>
      <c r="F18" s="5">
        <f>2737/(30*1000000)</f>
        <v>9.123333333333333E-05</v>
      </c>
      <c r="G18" s="6">
        <v>38239</v>
      </c>
      <c r="H18" s="6">
        <v>38342</v>
      </c>
    </row>
    <row r="19" spans="1:8" ht="22.5">
      <c r="A19" s="3">
        <f t="shared" si="0"/>
        <v>17</v>
      </c>
      <c r="B19" s="4" t="s">
        <v>1347</v>
      </c>
      <c r="C19" s="3">
        <v>7706292943</v>
      </c>
      <c r="D19" s="5">
        <f>18981992281.56/(30*1000000)</f>
        <v>632.733076052</v>
      </c>
      <c r="E19" s="5">
        <f>15854820691.97/(30*1000000)</f>
        <v>528.4940230656666</v>
      </c>
      <c r="F19" s="5">
        <f>10819/(30*1000000)</f>
        <v>0.00036063333333333334</v>
      </c>
      <c r="G19" s="6">
        <v>37727</v>
      </c>
      <c r="H19" s="6">
        <v>38352</v>
      </c>
    </row>
    <row r="20" spans="1:8" ht="11.25">
      <c r="A20" s="3">
        <f t="shared" si="0"/>
        <v>18</v>
      </c>
      <c r="B20" s="4" t="s">
        <v>342</v>
      </c>
      <c r="C20" s="3">
        <v>7703367534</v>
      </c>
      <c r="D20" s="5">
        <f>18979335541.9/(30*1000000)</f>
        <v>632.6445180633334</v>
      </c>
      <c r="E20" s="5">
        <f>1270940776.33/(30*1000000)</f>
        <v>42.36469254433333</v>
      </c>
      <c r="F20" s="5">
        <f>430/(30*1000000)</f>
        <v>1.4333333333333334E-05</v>
      </c>
      <c r="G20" s="6">
        <v>37820</v>
      </c>
      <c r="H20" s="6">
        <v>38351</v>
      </c>
    </row>
    <row r="21" spans="1:8" ht="11.25">
      <c r="A21" s="3">
        <f t="shared" si="0"/>
        <v>19</v>
      </c>
      <c r="B21" s="4" t="s">
        <v>192</v>
      </c>
      <c r="C21" s="3">
        <v>5029065916</v>
      </c>
      <c r="D21" s="5">
        <f>18660274067.09/(30*1000000)</f>
        <v>622.0091355696667</v>
      </c>
      <c r="E21" s="5">
        <f>10607843731.85/(30*1000000)</f>
        <v>353.5947910616667</v>
      </c>
      <c r="F21" s="5">
        <f>681/(30*1000000)</f>
        <v>2.27E-05</v>
      </c>
      <c r="G21" s="6">
        <v>37630</v>
      </c>
      <c r="H21" s="6">
        <v>38350</v>
      </c>
    </row>
    <row r="22" spans="1:8" ht="11.25">
      <c r="A22" s="3">
        <f t="shared" si="0"/>
        <v>20</v>
      </c>
      <c r="B22" s="4" t="s">
        <v>354</v>
      </c>
      <c r="C22" s="3">
        <v>7706297740</v>
      </c>
      <c r="D22" s="5">
        <f>17734118546.81/(30*1000000)</f>
        <v>591.1372848936667</v>
      </c>
      <c r="E22" s="5">
        <f>1277266000.06/(30*1000000)</f>
        <v>42.57553333533333</v>
      </c>
      <c r="F22" s="5">
        <f>2213156/(30*1000000)</f>
        <v>0.07377186666666667</v>
      </c>
      <c r="G22" s="6">
        <v>37635</v>
      </c>
      <c r="H22" s="6">
        <v>38323</v>
      </c>
    </row>
    <row r="23" spans="1:8" ht="11.25">
      <c r="A23" s="3">
        <f t="shared" si="0"/>
        <v>21</v>
      </c>
      <c r="B23" s="4" t="s">
        <v>338</v>
      </c>
      <c r="C23" s="3">
        <v>7703349687</v>
      </c>
      <c r="D23" s="5">
        <f>17369621704.54/(30*1000000)</f>
        <v>578.9873901513333</v>
      </c>
      <c r="E23" s="5">
        <f>1949904751.75/(30*1000000)</f>
        <v>64.99682505833333</v>
      </c>
      <c r="F23" s="5">
        <f>1522/(30*1000000)</f>
        <v>5.073333333333333E-05</v>
      </c>
      <c r="G23" s="6">
        <v>37643</v>
      </c>
      <c r="H23" s="6">
        <v>38142</v>
      </c>
    </row>
    <row r="24" spans="1:8" ht="11.25">
      <c r="A24" s="3">
        <f t="shared" si="0"/>
        <v>22</v>
      </c>
      <c r="B24" s="4" t="s">
        <v>395</v>
      </c>
      <c r="C24" s="3">
        <v>7708203579</v>
      </c>
      <c r="D24" s="5">
        <f>17320870055.74/(30*1000000)</f>
        <v>577.3623351913334</v>
      </c>
      <c r="E24" s="5">
        <f>2436167041.3/(30*1000000)</f>
        <v>81.20556804333334</v>
      </c>
      <c r="F24" s="5">
        <f>8105/(30*1000000)</f>
        <v>0.00027016666666666666</v>
      </c>
      <c r="G24" s="6">
        <v>37625</v>
      </c>
      <c r="H24" s="6">
        <v>38316</v>
      </c>
    </row>
    <row r="25" spans="1:8" ht="11.25">
      <c r="A25" s="3">
        <f t="shared" si="0"/>
        <v>23</v>
      </c>
      <c r="B25" s="4" t="s">
        <v>1336</v>
      </c>
      <c r="C25" s="3">
        <v>7713312012</v>
      </c>
      <c r="D25" s="5">
        <f>17139589620.91/(30*1000000)</f>
        <v>571.3196540303334</v>
      </c>
      <c r="E25" s="5">
        <f>13279068217.65/(30*1000000)</f>
        <v>442.63560725499997</v>
      </c>
      <c r="F25" s="5">
        <f>0/(30*1000000)</f>
        <v>0</v>
      </c>
      <c r="G25" s="6">
        <v>37626</v>
      </c>
      <c r="H25" s="6">
        <v>37998</v>
      </c>
    </row>
    <row r="26" spans="1:8" ht="11.25">
      <c r="A26" s="3">
        <f t="shared" si="0"/>
        <v>24</v>
      </c>
      <c r="B26" s="4" t="s">
        <v>1185</v>
      </c>
      <c r="C26" s="3">
        <v>814129116</v>
      </c>
      <c r="D26" s="5">
        <f>16717708500/(30*1000000)</f>
        <v>557.25695</v>
      </c>
      <c r="E26" s="5">
        <f>317230.4/(30*1000000)</f>
        <v>0.010574346666666668</v>
      </c>
      <c r="F26" s="5">
        <f>77231/(30*1000000)</f>
        <v>0.0025743666666666666</v>
      </c>
      <c r="G26" s="6">
        <v>37776</v>
      </c>
      <c r="H26" s="6">
        <v>38350</v>
      </c>
    </row>
    <row r="27" spans="1:8" ht="11.25">
      <c r="A27" s="3">
        <f t="shared" si="0"/>
        <v>25</v>
      </c>
      <c r="B27" s="4" t="s">
        <v>1358</v>
      </c>
      <c r="C27" s="3">
        <v>7708229746</v>
      </c>
      <c r="D27" s="5">
        <f>16667776744.45/(30*1000000)</f>
        <v>555.5925581483334</v>
      </c>
      <c r="E27" s="5">
        <f>16209190012.74/(30*1000000)</f>
        <v>540.3063337579999</v>
      </c>
      <c r="F27" s="5">
        <f>536/(30*1000000)</f>
        <v>1.7866666666666666E-05</v>
      </c>
      <c r="G27" s="6">
        <v>37979</v>
      </c>
      <c r="H27" s="6">
        <v>38351</v>
      </c>
    </row>
    <row r="28" spans="1:8" ht="11.25">
      <c r="A28" s="3">
        <f t="shared" si="0"/>
        <v>26</v>
      </c>
      <c r="B28" s="4" t="s">
        <v>286</v>
      </c>
      <c r="C28" s="3">
        <v>7702502325</v>
      </c>
      <c r="D28" s="5">
        <f>16015703839.68/(30*1000000)</f>
        <v>533.856794656</v>
      </c>
      <c r="E28" s="5">
        <f>576115833/(30*1000000)</f>
        <v>19.2038611</v>
      </c>
      <c r="F28" s="5">
        <f>13712/(30*1000000)</f>
        <v>0.00045706666666666665</v>
      </c>
      <c r="G28" s="6">
        <v>38026</v>
      </c>
      <c r="H28" s="6">
        <v>38352</v>
      </c>
    </row>
    <row r="29" spans="1:8" ht="11.25">
      <c r="A29" s="3">
        <f t="shared" si="0"/>
        <v>27</v>
      </c>
      <c r="B29" s="4" t="s">
        <v>343</v>
      </c>
      <c r="C29" s="3">
        <v>7703367781</v>
      </c>
      <c r="D29" s="5">
        <f>14539331865.85/(30*1000000)</f>
        <v>484.64439552833335</v>
      </c>
      <c r="E29" s="5">
        <f>1054141632.32/(30*1000000)</f>
        <v>35.13805441066667</v>
      </c>
      <c r="F29" s="5">
        <f>2486173/(30*1000000)</f>
        <v>0.08287243333333333</v>
      </c>
      <c r="G29" s="6">
        <v>37820</v>
      </c>
      <c r="H29" s="6">
        <v>38168</v>
      </c>
    </row>
    <row r="30" spans="1:8" ht="11.25">
      <c r="A30" s="3">
        <f t="shared" si="0"/>
        <v>28</v>
      </c>
      <c r="B30" s="4" t="s">
        <v>577</v>
      </c>
      <c r="C30" s="3">
        <v>7714517559</v>
      </c>
      <c r="D30" s="5">
        <f>13852358331.22/(30*1000000)</f>
        <v>461.7452777073333</v>
      </c>
      <c r="E30" s="5">
        <f>11626232769.67/(30*1000000)</f>
        <v>387.5410923223333</v>
      </c>
      <c r="F30" s="5">
        <f>0/(30*1000000)</f>
        <v>0</v>
      </c>
      <c r="G30" s="6">
        <v>38127</v>
      </c>
      <c r="H30" s="6">
        <v>38350</v>
      </c>
    </row>
    <row r="31" spans="1:8" ht="11.25">
      <c r="A31" s="3">
        <f t="shared" si="0"/>
        <v>29</v>
      </c>
      <c r="B31" s="4" t="s">
        <v>1332</v>
      </c>
      <c r="C31" s="3">
        <v>7713129780</v>
      </c>
      <c r="D31" s="5">
        <f>13636821903.73/(30*1000000)</f>
        <v>454.5607301243333</v>
      </c>
      <c r="E31" s="5">
        <f>11791361258.68/(30*1000000)</f>
        <v>393.0453752893333</v>
      </c>
      <c r="F31" s="5">
        <f>0/(30*1000000)</f>
        <v>0</v>
      </c>
      <c r="G31" s="6">
        <v>37638</v>
      </c>
      <c r="H31" s="6">
        <v>37900</v>
      </c>
    </row>
    <row r="32" spans="1:8" ht="34.5">
      <c r="A32" s="3">
        <f t="shared" si="0"/>
        <v>30</v>
      </c>
      <c r="B32" s="4" t="s">
        <v>1330</v>
      </c>
      <c r="C32" s="3">
        <v>7710522124</v>
      </c>
      <c r="D32" s="5">
        <f>13558973892.15/(30*1000000)</f>
        <v>451.965796405</v>
      </c>
      <c r="E32" s="5">
        <f>8361546732.65/(30*1000000)</f>
        <v>278.71822442166666</v>
      </c>
      <c r="F32" s="5">
        <f>725822/(30*1000000)</f>
        <v>0.024194066666666666</v>
      </c>
      <c r="G32" s="6">
        <v>38145</v>
      </c>
      <c r="H32" s="6">
        <v>38352</v>
      </c>
    </row>
    <row r="33" spans="1:8" ht="11.25">
      <c r="A33" s="3">
        <f t="shared" si="0"/>
        <v>31</v>
      </c>
      <c r="B33" s="4" t="s">
        <v>260</v>
      </c>
      <c r="C33" s="3">
        <v>7703329987</v>
      </c>
      <c r="D33" s="5">
        <f>13329866096.19/(30*1000000)</f>
        <v>444.32886987300003</v>
      </c>
      <c r="E33" s="5">
        <f>463099096.75/(30*1000000)</f>
        <v>15.436636558333333</v>
      </c>
      <c r="F33" s="5">
        <f>250/(30*1000000)</f>
        <v>8.333333333333334E-06</v>
      </c>
      <c r="G33" s="6">
        <v>37637</v>
      </c>
      <c r="H33" s="6">
        <v>38173</v>
      </c>
    </row>
    <row r="34" spans="1:8" ht="11.25">
      <c r="A34" s="3">
        <f t="shared" si="0"/>
        <v>32</v>
      </c>
      <c r="B34" s="4" t="s">
        <v>566</v>
      </c>
      <c r="C34" s="3">
        <v>7714524997</v>
      </c>
      <c r="D34" s="5">
        <f>12774091438.44/(30*1000000)</f>
        <v>425.803047948</v>
      </c>
      <c r="E34" s="5">
        <f>1268714427.23/(30*1000000)</f>
        <v>42.29048090766667</v>
      </c>
      <c r="F34" s="5">
        <f>9172504/(30*1000000)</f>
        <v>0.30575013333333334</v>
      </c>
      <c r="G34" s="6">
        <v>38068</v>
      </c>
      <c r="H34" s="6">
        <v>38352</v>
      </c>
    </row>
    <row r="35" spans="1:8" ht="11.25">
      <c r="A35" s="3">
        <f t="shared" si="0"/>
        <v>33</v>
      </c>
      <c r="B35" s="4" t="s">
        <v>345</v>
      </c>
      <c r="C35" s="3">
        <v>7703502046</v>
      </c>
      <c r="D35" s="5">
        <f>12521573345.64/(30*1000000)</f>
        <v>417.38577818799996</v>
      </c>
      <c r="E35" s="5">
        <f>297367801.37/(30*1000000)</f>
        <v>9.912260045666667</v>
      </c>
      <c r="F35" s="5">
        <f>45000/(30*1000000)</f>
        <v>0.0015</v>
      </c>
      <c r="G35" s="6">
        <v>38103</v>
      </c>
      <c r="H35" s="6">
        <v>38345</v>
      </c>
    </row>
    <row r="36" spans="1:8" ht="11.25">
      <c r="A36" s="3">
        <f t="shared" si="0"/>
        <v>34</v>
      </c>
      <c r="B36" s="4" t="s">
        <v>352</v>
      </c>
      <c r="C36" s="3">
        <v>7718512294</v>
      </c>
      <c r="D36" s="5">
        <f>12359423371.65/(30*1000000)</f>
        <v>411.98077905499997</v>
      </c>
      <c r="E36" s="5">
        <f>211015326.45/(30*1000000)</f>
        <v>7.033844214999999</v>
      </c>
      <c r="F36" s="5">
        <f>0/(30*1000000)</f>
        <v>0</v>
      </c>
      <c r="G36" s="6">
        <v>38124</v>
      </c>
      <c r="H36" s="6">
        <v>38250</v>
      </c>
    </row>
    <row r="37" spans="1:8" ht="11.25">
      <c r="A37" s="3">
        <f t="shared" si="0"/>
        <v>35</v>
      </c>
      <c r="B37" s="4" t="s">
        <v>205</v>
      </c>
      <c r="C37" s="3">
        <v>814154024</v>
      </c>
      <c r="D37" s="5">
        <f>12128292831.21/(30*1000000)</f>
        <v>404.276427707</v>
      </c>
      <c r="E37" s="5">
        <f>394217475.18/(30*1000000)</f>
        <v>13.140582506</v>
      </c>
      <c r="F37" s="5">
        <f>649443/(30*1000000)</f>
        <v>0.0216481</v>
      </c>
      <c r="G37" s="6">
        <v>37792</v>
      </c>
      <c r="H37" s="6">
        <v>38351</v>
      </c>
    </row>
    <row r="38" spans="1:8" ht="34.5">
      <c r="A38" s="3">
        <f t="shared" si="0"/>
        <v>36</v>
      </c>
      <c r="B38" s="4" t="s">
        <v>1331</v>
      </c>
      <c r="C38" s="3">
        <v>7710522325</v>
      </c>
      <c r="D38" s="5">
        <f>12073428952.32/(30*1000000)</f>
        <v>402.447631744</v>
      </c>
      <c r="E38" s="5">
        <f>7162611679.21/(30*1000000)</f>
        <v>238.75372264033334</v>
      </c>
      <c r="F38" s="5">
        <f>2942/(30*1000000)</f>
        <v>9.806666666666666E-05</v>
      </c>
      <c r="G38" s="6">
        <v>38155</v>
      </c>
      <c r="H38" s="6">
        <v>38352</v>
      </c>
    </row>
    <row r="39" spans="1:8" ht="11.25">
      <c r="A39" s="3">
        <f t="shared" si="0"/>
        <v>37</v>
      </c>
      <c r="B39" s="4" t="s">
        <v>557</v>
      </c>
      <c r="C39" s="3">
        <v>7710373698</v>
      </c>
      <c r="D39" s="5">
        <f>11993692588.13/(30*1000000)</f>
        <v>399.78975293766666</v>
      </c>
      <c r="E39" s="5">
        <f>516139256.71/(30*1000000)</f>
        <v>17.20464189033333</v>
      </c>
      <c r="F39" s="5">
        <f>21324/(30*1000000)</f>
        <v>0.0007108</v>
      </c>
      <c r="G39" s="6">
        <v>37626</v>
      </c>
      <c r="H39" s="6">
        <v>38098</v>
      </c>
    </row>
    <row r="40" spans="1:8" ht="11.25">
      <c r="A40" s="3">
        <f t="shared" si="0"/>
        <v>38</v>
      </c>
      <c r="B40" s="4" t="s">
        <v>569</v>
      </c>
      <c r="C40" s="3">
        <v>7728286862</v>
      </c>
      <c r="D40" s="5">
        <f>10944011806.13/(30*1000000)</f>
        <v>364.80039353766665</v>
      </c>
      <c r="E40" s="5">
        <f>724593128.29/(30*1000000)</f>
        <v>24.15310427633333</v>
      </c>
      <c r="F40" s="5">
        <f>1919883/(30*1000000)</f>
        <v>0.0639961</v>
      </c>
      <c r="G40" s="6">
        <v>37904</v>
      </c>
      <c r="H40" s="6">
        <v>38303</v>
      </c>
    </row>
    <row r="41" spans="1:8" ht="11.25">
      <c r="A41" s="3">
        <f t="shared" si="0"/>
        <v>39</v>
      </c>
      <c r="B41" s="4" t="s">
        <v>1323</v>
      </c>
      <c r="C41" s="3">
        <v>7724269200</v>
      </c>
      <c r="D41" s="5">
        <f>10571150016.21/(30*1000000)</f>
        <v>352.371667207</v>
      </c>
      <c r="E41" s="5">
        <f>9458397104.4/(30*1000000)</f>
        <v>315.27990348</v>
      </c>
      <c r="F41" s="5">
        <f>3607/(30*1000000)</f>
        <v>0.00012023333333333333</v>
      </c>
      <c r="G41" s="6">
        <v>38002</v>
      </c>
      <c r="H41" s="6">
        <v>38351</v>
      </c>
    </row>
    <row r="42" spans="1:8" ht="22.5">
      <c r="A42" s="3">
        <f t="shared" si="0"/>
        <v>40</v>
      </c>
      <c r="B42" s="4" t="s">
        <v>182</v>
      </c>
      <c r="C42" s="3">
        <v>7709408346</v>
      </c>
      <c r="D42" s="5">
        <f>10377540430.92/(30*1000000)</f>
        <v>345.918014364</v>
      </c>
      <c r="E42" s="5">
        <f>10092391062.46/(30*1000000)</f>
        <v>336.4130354153333</v>
      </c>
      <c r="F42" s="5">
        <f>220/(30*1000000)</f>
        <v>7.333333333333333E-06</v>
      </c>
      <c r="G42" s="6">
        <v>37811</v>
      </c>
      <c r="H42" s="6">
        <v>37972</v>
      </c>
    </row>
    <row r="43" spans="1:8" ht="22.5">
      <c r="A43" s="3">
        <f t="shared" si="0"/>
        <v>41</v>
      </c>
      <c r="B43" s="4" t="s">
        <v>1309</v>
      </c>
      <c r="C43" s="3">
        <v>7715375530</v>
      </c>
      <c r="D43" s="5">
        <f>10257868260.95/(30*1000000)</f>
        <v>341.9289420316667</v>
      </c>
      <c r="E43" s="5">
        <f>5833010265.03/(30*1000000)</f>
        <v>194.43367550099998</v>
      </c>
      <c r="F43" s="5">
        <f>1343013/(30*1000000)</f>
        <v>0.0447671</v>
      </c>
      <c r="G43" s="6">
        <v>37789</v>
      </c>
      <c r="H43" s="6">
        <v>38037</v>
      </c>
    </row>
    <row r="44" spans="1:8" ht="11.25">
      <c r="A44" s="3">
        <f t="shared" si="0"/>
        <v>42</v>
      </c>
      <c r="B44" s="4" t="s">
        <v>255</v>
      </c>
      <c r="C44" s="3">
        <v>7701542967</v>
      </c>
      <c r="D44" s="5">
        <f>10121956446.22/(30*1000000)</f>
        <v>337.3985482073333</v>
      </c>
      <c r="E44" s="5">
        <f>205146767.14/(30*1000000)</f>
        <v>6.838225571333333</v>
      </c>
      <c r="F44" s="5">
        <f>214/(30*1000000)</f>
        <v>7.133333333333333E-06</v>
      </c>
      <c r="G44" s="6">
        <v>38258</v>
      </c>
      <c r="H44" s="6">
        <v>38352</v>
      </c>
    </row>
    <row r="45" spans="1:8" ht="22.5">
      <c r="A45" s="3">
        <f t="shared" si="0"/>
        <v>43</v>
      </c>
      <c r="B45" s="4" t="s">
        <v>174</v>
      </c>
      <c r="C45" s="3">
        <v>7414006539</v>
      </c>
      <c r="D45" s="5">
        <f>10119328465.86/(30*1000000)</f>
        <v>337.31094886200003</v>
      </c>
      <c r="E45" s="5">
        <f>9227725718.31/(30*1000000)</f>
        <v>307.590857277</v>
      </c>
      <c r="F45" s="5">
        <f>0/(30*1000000)</f>
        <v>0</v>
      </c>
      <c r="G45" s="6">
        <v>37630</v>
      </c>
      <c r="H45" s="6">
        <v>38327</v>
      </c>
    </row>
    <row r="46" spans="1:8" ht="11.25">
      <c r="A46" s="3">
        <f t="shared" si="0"/>
        <v>44</v>
      </c>
      <c r="B46" s="4" t="s">
        <v>220</v>
      </c>
      <c r="C46" s="3">
        <v>7703357430</v>
      </c>
      <c r="D46" s="5">
        <f>10094381124.25/(30*1000000)</f>
        <v>336.47937080833333</v>
      </c>
      <c r="E46" s="5">
        <f>1032252909.29/(30*1000000)</f>
        <v>34.40843030966666</v>
      </c>
      <c r="F46" s="5">
        <f>2516084/(30*1000000)</f>
        <v>0.08386946666666667</v>
      </c>
      <c r="G46" s="6">
        <v>37659</v>
      </c>
      <c r="H46" s="6">
        <v>38146</v>
      </c>
    </row>
    <row r="47" spans="1:8" ht="11.25">
      <c r="A47" s="3">
        <f t="shared" si="0"/>
        <v>45</v>
      </c>
      <c r="B47" s="4" t="s">
        <v>1348</v>
      </c>
      <c r="C47" s="3">
        <v>7706293665</v>
      </c>
      <c r="D47" s="5">
        <f>9838846738.85/(30*1000000)</f>
        <v>327.9615579616667</v>
      </c>
      <c r="E47" s="5">
        <f>9328120628.77/(30*1000000)</f>
        <v>310.93735429233334</v>
      </c>
      <c r="F47" s="5">
        <f>47067/(30*1000000)</f>
        <v>0.0015689</v>
      </c>
      <c r="G47" s="6">
        <v>37942</v>
      </c>
      <c r="H47" s="6">
        <v>38349</v>
      </c>
    </row>
    <row r="48" spans="1:8" ht="22.5">
      <c r="A48" s="3">
        <f t="shared" si="0"/>
        <v>46</v>
      </c>
      <c r="B48" s="4" t="s">
        <v>1186</v>
      </c>
      <c r="C48" s="3">
        <v>7722243929</v>
      </c>
      <c r="D48" s="5">
        <f>9837705191.32/(30*1000000)</f>
        <v>327.9235063773333</v>
      </c>
      <c r="E48" s="5">
        <f>973155092.23/(30*1000000)</f>
        <v>32.43850307433333</v>
      </c>
      <c r="F48" s="5">
        <f>2580680/(30*1000000)</f>
        <v>0.08602266666666666</v>
      </c>
      <c r="G48" s="6">
        <v>37625</v>
      </c>
      <c r="H48" s="6">
        <v>37848</v>
      </c>
    </row>
    <row r="49" spans="1:8" ht="11.25">
      <c r="A49" s="3">
        <f t="shared" si="0"/>
        <v>47</v>
      </c>
      <c r="B49" s="4" t="s">
        <v>540</v>
      </c>
      <c r="C49" s="3">
        <v>7714288210</v>
      </c>
      <c r="D49" s="5">
        <f>9745737439.8/(30*1000000)</f>
        <v>324.85791465999995</v>
      </c>
      <c r="E49" s="5">
        <f>1266175877.69/(30*1000000)</f>
        <v>42.205862589666665</v>
      </c>
      <c r="F49" s="5">
        <f>25638/(30*1000000)</f>
        <v>0.0008546</v>
      </c>
      <c r="G49" s="6">
        <v>37720</v>
      </c>
      <c r="H49" s="6">
        <v>37973</v>
      </c>
    </row>
    <row r="50" spans="1:8" ht="11.25">
      <c r="A50" s="3">
        <f t="shared" si="0"/>
        <v>48</v>
      </c>
      <c r="B50" s="4" t="s">
        <v>248</v>
      </c>
      <c r="C50" s="3">
        <v>507021872</v>
      </c>
      <c r="D50" s="5">
        <f>9644646409.05/(30*1000000)</f>
        <v>321.48821363499997</v>
      </c>
      <c r="E50" s="5">
        <f>9225714072.89/(30*1000000)</f>
        <v>307.52380242966666</v>
      </c>
      <c r="F50" s="5">
        <f>10928/(30*1000000)</f>
        <v>0.00036426666666666667</v>
      </c>
      <c r="G50" s="6">
        <v>38009</v>
      </c>
      <c r="H50" s="6">
        <v>38351</v>
      </c>
    </row>
    <row r="51" spans="1:8" ht="11.25">
      <c r="A51" s="3">
        <f t="shared" si="0"/>
        <v>49</v>
      </c>
      <c r="B51" s="4" t="s">
        <v>159</v>
      </c>
      <c r="C51" s="3">
        <v>7703335028</v>
      </c>
      <c r="D51" s="5">
        <f>9373067696.98/(30*1000000)</f>
        <v>312.4355898993333</v>
      </c>
      <c r="E51" s="5">
        <f>4856018227.51/(30*1000000)</f>
        <v>161.86727425033334</v>
      </c>
      <c r="F51" s="5">
        <f>59760/(30*1000000)</f>
        <v>0.001992</v>
      </c>
      <c r="G51" s="6">
        <v>37625</v>
      </c>
      <c r="H51" s="6">
        <v>38184</v>
      </c>
    </row>
    <row r="52" spans="1:8" ht="11.25">
      <c r="A52" s="3">
        <f t="shared" si="0"/>
        <v>50</v>
      </c>
      <c r="B52" s="4" t="s">
        <v>541</v>
      </c>
      <c r="C52" s="3">
        <v>7714290509</v>
      </c>
      <c r="D52" s="5">
        <f>9211183408.21/(30*1000000)</f>
        <v>307.0394469403333</v>
      </c>
      <c r="E52" s="5">
        <f>1067496705.42/(30*1000000)</f>
        <v>35.583223514</v>
      </c>
      <c r="F52" s="5">
        <f>7478395/(30*1000000)</f>
        <v>0.24927983333333334</v>
      </c>
      <c r="G52" s="6">
        <v>37792</v>
      </c>
      <c r="H52" s="6">
        <v>38253</v>
      </c>
    </row>
    <row r="53" spans="1:8" ht="11.25">
      <c r="A53" s="3">
        <f t="shared" si="0"/>
        <v>51</v>
      </c>
      <c r="B53" s="4" t="s">
        <v>676</v>
      </c>
      <c r="C53" s="3">
        <v>7713130358</v>
      </c>
      <c r="D53" s="5">
        <f>9178675253.53/(30*1000000)</f>
        <v>305.95584178433336</v>
      </c>
      <c r="E53" s="5">
        <f>2524162191.89/(30*1000000)</f>
        <v>84.13873972966667</v>
      </c>
      <c r="F53" s="5">
        <f>1859973/(30*1000000)</f>
        <v>0.0619991</v>
      </c>
      <c r="G53" s="6">
        <v>37662</v>
      </c>
      <c r="H53" s="6">
        <v>38352</v>
      </c>
    </row>
    <row r="54" spans="1:8" ht="11.25">
      <c r="A54" s="3">
        <f t="shared" si="0"/>
        <v>52</v>
      </c>
      <c r="B54" s="4" t="s">
        <v>377</v>
      </c>
      <c r="C54" s="3">
        <v>7705427179</v>
      </c>
      <c r="D54" s="5">
        <f>9175442413.62/(30*1000000)</f>
        <v>305.848080454</v>
      </c>
      <c r="E54" s="5">
        <f>3015873119.74/(30*1000000)</f>
        <v>100.52910399133333</v>
      </c>
      <c r="F54" s="5">
        <f>1837401/(30*1000000)</f>
        <v>0.0612467</v>
      </c>
      <c r="G54" s="6">
        <v>37946</v>
      </c>
      <c r="H54" s="6">
        <v>38223</v>
      </c>
    </row>
    <row r="55" spans="1:8" ht="11.25">
      <c r="A55" s="3">
        <f t="shared" si="0"/>
        <v>53</v>
      </c>
      <c r="B55" s="4" t="s">
        <v>634</v>
      </c>
      <c r="C55" s="3">
        <v>7725186972</v>
      </c>
      <c r="D55" s="5">
        <f>9029990970/(30*1000000)</f>
        <v>300.999699</v>
      </c>
      <c r="E55" s="5">
        <f>50148/(30*1000000)</f>
        <v>0.0016716</v>
      </c>
      <c r="F55" s="5">
        <f>48648/(30*1000000)</f>
        <v>0.0016216</v>
      </c>
      <c r="G55" s="6">
        <v>37629</v>
      </c>
      <c r="H55" s="6">
        <v>38062</v>
      </c>
    </row>
    <row r="56" spans="1:8" ht="11.25">
      <c r="A56" s="3">
        <f t="shared" si="0"/>
        <v>54</v>
      </c>
      <c r="B56" s="4" t="s">
        <v>600</v>
      </c>
      <c r="C56" s="3">
        <v>7733132755</v>
      </c>
      <c r="D56" s="5">
        <f>9029852070/(30*1000000)</f>
        <v>300.995069</v>
      </c>
      <c r="E56" s="5">
        <f>600/(30*1000000)</f>
        <v>2E-05</v>
      </c>
      <c r="F56" s="5">
        <f>0/(30*1000000)</f>
        <v>0</v>
      </c>
      <c r="G56" s="6">
        <v>37629</v>
      </c>
      <c r="H56" s="6">
        <v>37728</v>
      </c>
    </row>
    <row r="57" spans="1:8" ht="11.25">
      <c r="A57" s="3">
        <f t="shared" si="0"/>
        <v>55</v>
      </c>
      <c r="B57" s="4" t="s">
        <v>565</v>
      </c>
      <c r="C57" s="3">
        <v>7714522728</v>
      </c>
      <c r="D57" s="5">
        <f>8972356212.48/(30*1000000)</f>
        <v>299.078540416</v>
      </c>
      <c r="E57" s="5">
        <f>3191016958.52/(30*1000000)</f>
        <v>106.36723195066666</v>
      </c>
      <c r="F57" s="5">
        <f>39637/(30*1000000)</f>
        <v>0.0013212333333333334</v>
      </c>
      <c r="G57" s="6">
        <v>38069</v>
      </c>
      <c r="H57" s="6">
        <v>38352</v>
      </c>
    </row>
    <row r="58" spans="1:8" ht="11.25">
      <c r="A58" s="3">
        <f t="shared" si="0"/>
        <v>56</v>
      </c>
      <c r="B58" s="4" t="s">
        <v>282</v>
      </c>
      <c r="C58" s="3">
        <v>7702355695</v>
      </c>
      <c r="D58" s="5">
        <f>8920760591.22/(30*1000000)</f>
        <v>297.358686374</v>
      </c>
      <c r="E58" s="5">
        <f>1422651277.14/(30*1000000)</f>
        <v>47.421709238000005</v>
      </c>
      <c r="F58" s="5">
        <f>2104426/(30*1000000)</f>
        <v>0.07014753333333333</v>
      </c>
      <c r="G58" s="6">
        <v>37851</v>
      </c>
      <c r="H58" s="6">
        <v>38352</v>
      </c>
    </row>
    <row r="59" spans="1:8" ht="11.25">
      <c r="A59" s="3">
        <f t="shared" si="0"/>
        <v>57</v>
      </c>
      <c r="B59" s="4" t="s">
        <v>389</v>
      </c>
      <c r="C59" s="3">
        <v>7707520127</v>
      </c>
      <c r="D59" s="5">
        <f>8913406620.75/(30*1000000)</f>
        <v>297.113554025</v>
      </c>
      <c r="E59" s="5">
        <f>222727817.71/(30*1000000)</f>
        <v>7.424260590333334</v>
      </c>
      <c r="F59" s="5">
        <f>0/(30*1000000)</f>
        <v>0</v>
      </c>
      <c r="G59" s="6">
        <v>38250</v>
      </c>
      <c r="H59" s="6">
        <v>38352</v>
      </c>
    </row>
    <row r="60" spans="1:8" ht="11.25">
      <c r="A60" s="3">
        <f t="shared" si="0"/>
        <v>58</v>
      </c>
      <c r="B60" s="4" t="s">
        <v>1284</v>
      </c>
      <c r="C60" s="3">
        <v>8001008293</v>
      </c>
      <c r="D60" s="5">
        <f>8746876570.8/(30*1000000)</f>
        <v>291.56255236</v>
      </c>
      <c r="E60" s="5">
        <f>6911211888.18/(30*1000000)</f>
        <v>230.373729606</v>
      </c>
      <c r="F60" s="5">
        <f>9650/(30*1000000)</f>
        <v>0.00032166666666666666</v>
      </c>
      <c r="G60" s="6">
        <v>38079</v>
      </c>
      <c r="H60" s="6">
        <v>38351</v>
      </c>
    </row>
    <row r="61" spans="1:8" ht="11.25">
      <c r="A61" s="3">
        <f t="shared" si="0"/>
        <v>59</v>
      </c>
      <c r="B61" s="4" t="s">
        <v>605</v>
      </c>
      <c r="C61" s="3">
        <v>7717110433</v>
      </c>
      <c r="D61" s="5">
        <f>8607760463.53/(30*1000000)</f>
        <v>286.9253487843334</v>
      </c>
      <c r="E61" s="5">
        <f>1120102498.91/(30*1000000)</f>
        <v>37.33674996366667</v>
      </c>
      <c r="F61" s="5">
        <f>2436849/(30*1000000)</f>
        <v>0.0812283</v>
      </c>
      <c r="G61" s="6">
        <v>37625</v>
      </c>
      <c r="H61" s="6">
        <v>38344</v>
      </c>
    </row>
    <row r="62" spans="1:8" ht="11.25">
      <c r="A62" s="3">
        <f t="shared" si="0"/>
        <v>60</v>
      </c>
      <c r="B62" s="4" t="s">
        <v>198</v>
      </c>
      <c r="C62" s="3">
        <v>804007750</v>
      </c>
      <c r="D62" s="5">
        <f>8596464911.18001/(30*1000000)</f>
        <v>286.548830372667</v>
      </c>
      <c r="E62" s="5">
        <f>512882967.81/(30*1000000)</f>
        <v>17.096098927</v>
      </c>
      <c r="F62" s="5">
        <f>10491/(30*1000000)</f>
        <v>0.0003497</v>
      </c>
      <c r="G62" s="6">
        <v>37970</v>
      </c>
      <c r="H62" s="6">
        <v>38321</v>
      </c>
    </row>
    <row r="63" spans="1:8" ht="11.25">
      <c r="A63" s="3">
        <f t="shared" si="0"/>
        <v>61</v>
      </c>
      <c r="B63" s="4" t="s">
        <v>151</v>
      </c>
      <c r="C63" s="3">
        <v>7702230880</v>
      </c>
      <c r="D63" s="5">
        <f>8596315785.82/(30*1000000)</f>
        <v>286.5438595273333</v>
      </c>
      <c r="E63" s="5">
        <f>6560788201.22/(30*1000000)</f>
        <v>218.69294004066668</v>
      </c>
      <c r="F63" s="5">
        <f>328131/(30*1000000)</f>
        <v>0.0109377</v>
      </c>
      <c r="G63" s="6">
        <v>37625</v>
      </c>
      <c r="H63" s="6">
        <v>38351</v>
      </c>
    </row>
    <row r="64" spans="1:8" ht="11.25">
      <c r="A64" s="3">
        <f t="shared" si="0"/>
        <v>62</v>
      </c>
      <c r="B64" s="4" t="s">
        <v>268</v>
      </c>
      <c r="C64" s="3">
        <v>7706510479</v>
      </c>
      <c r="D64" s="5">
        <f>8537746814.58/(30*1000000)</f>
        <v>284.591560486</v>
      </c>
      <c r="E64" s="5">
        <f>92277507.09/(30*1000000)</f>
        <v>3.075916903</v>
      </c>
      <c r="F64" s="5">
        <f>90088/(30*1000000)</f>
        <v>0.0030029333333333333</v>
      </c>
      <c r="G64" s="6">
        <v>38007</v>
      </c>
      <c r="H64" s="6">
        <v>38351</v>
      </c>
    </row>
    <row r="65" spans="1:8" ht="11.25">
      <c r="A65" s="3">
        <f t="shared" si="0"/>
        <v>63</v>
      </c>
      <c r="B65" s="4" t="s">
        <v>1288</v>
      </c>
      <c r="C65" s="3">
        <v>8001008832</v>
      </c>
      <c r="D65" s="5">
        <f>8418593740.84/(30*1000000)</f>
        <v>280.61979136133334</v>
      </c>
      <c r="E65" s="5">
        <f>4395050557.47/(30*1000000)</f>
        <v>146.50168524900002</v>
      </c>
      <c r="F65" s="5">
        <f>2637/(30*1000000)</f>
        <v>8.79E-05</v>
      </c>
      <c r="G65" s="6">
        <v>38211</v>
      </c>
      <c r="H65" s="6">
        <v>38351</v>
      </c>
    </row>
    <row r="66" spans="1:8" ht="34.5">
      <c r="A66" s="3">
        <f t="shared" si="0"/>
        <v>64</v>
      </c>
      <c r="B66" s="4" t="s">
        <v>1329</v>
      </c>
      <c r="C66" s="3">
        <v>7710521970</v>
      </c>
      <c r="D66" s="5">
        <f>8412056623.76/(30*1000000)</f>
        <v>280.4018874586667</v>
      </c>
      <c r="E66" s="5">
        <f>6625035091.88/(30*1000000)</f>
        <v>220.83450306266667</v>
      </c>
      <c r="F66" s="5">
        <f>77106/(30*1000000)</f>
        <v>0.0025702</v>
      </c>
      <c r="G66" s="6">
        <v>38132</v>
      </c>
      <c r="H66" s="6">
        <v>38352</v>
      </c>
    </row>
    <row r="67" spans="1:8" ht="11.25">
      <c r="A67" s="3">
        <f t="shared" si="0"/>
        <v>65</v>
      </c>
      <c r="B67" s="4" t="s">
        <v>620</v>
      </c>
      <c r="C67" s="3">
        <v>7727245831</v>
      </c>
      <c r="D67" s="5">
        <f>8408412361.36/(30*1000000)</f>
        <v>280.2804120453333</v>
      </c>
      <c r="E67" s="5">
        <f>49333283.18/(30*1000000)</f>
        <v>1.6444427726666666</v>
      </c>
      <c r="F67" s="5">
        <f>397/(30*1000000)</f>
        <v>1.3233333333333333E-05</v>
      </c>
      <c r="G67" s="6">
        <v>37896</v>
      </c>
      <c r="H67" s="6">
        <v>38104</v>
      </c>
    </row>
    <row r="68" spans="1:8" ht="11.25">
      <c r="A68" s="3">
        <f t="shared" si="0"/>
        <v>66</v>
      </c>
      <c r="B68" s="4" t="s">
        <v>628</v>
      </c>
      <c r="C68" s="3">
        <v>7733512203</v>
      </c>
      <c r="D68" s="5">
        <f>8406104824.07/(30*1000000)</f>
        <v>280.20349413566663</v>
      </c>
      <c r="E68" s="5">
        <f>111658548.74/(30*1000000)</f>
        <v>3.7219516246666666</v>
      </c>
      <c r="F68" s="5">
        <f>0/(30*1000000)</f>
        <v>0</v>
      </c>
      <c r="G68" s="6">
        <v>38126</v>
      </c>
      <c r="H68" s="6">
        <v>38180</v>
      </c>
    </row>
    <row r="69" spans="1:8" ht="11.25">
      <c r="A69" s="3">
        <f aca="true" t="shared" si="1" ref="A69:A132">1+A68</f>
        <v>67</v>
      </c>
      <c r="B69" s="4" t="s">
        <v>1282</v>
      </c>
      <c r="C69" s="3">
        <v>8001008014</v>
      </c>
      <c r="D69" s="5">
        <f>8372419684.15/(30*1000000)</f>
        <v>279.0806561383333</v>
      </c>
      <c r="E69" s="5">
        <f>5780127665.15/(30*1000000)</f>
        <v>192.67092217166666</v>
      </c>
      <c r="F69" s="5">
        <f>7969/(30*1000000)</f>
        <v>0.00026563333333333336</v>
      </c>
      <c r="G69" s="6">
        <v>38027</v>
      </c>
      <c r="H69" s="6">
        <v>38351</v>
      </c>
    </row>
    <row r="70" spans="1:8" ht="11.25">
      <c r="A70" s="3">
        <f t="shared" si="1"/>
        <v>68</v>
      </c>
      <c r="B70" s="4" t="s">
        <v>284</v>
      </c>
      <c r="C70" s="3">
        <v>507021946</v>
      </c>
      <c r="D70" s="5">
        <f>8363999854.44/(30*1000000)</f>
        <v>278.799995148</v>
      </c>
      <c r="E70" s="5">
        <f>7383733503/(30*1000000)</f>
        <v>246.1244501</v>
      </c>
      <c r="F70" s="5">
        <f>11100/(30*1000000)</f>
        <v>0.00037</v>
      </c>
      <c r="G70" s="6">
        <v>38012</v>
      </c>
      <c r="H70" s="6">
        <v>38351</v>
      </c>
    </row>
    <row r="71" spans="1:8" ht="11.25">
      <c r="A71" s="3">
        <f t="shared" si="1"/>
        <v>69</v>
      </c>
      <c r="B71" s="4" t="s">
        <v>550</v>
      </c>
      <c r="C71" s="3">
        <v>7709511520</v>
      </c>
      <c r="D71" s="5">
        <f>8339331716.29/(30*1000000)</f>
        <v>277.97772387633336</v>
      </c>
      <c r="E71" s="5">
        <f>681168665.05/(30*1000000)</f>
        <v>22.70562216833333</v>
      </c>
      <c r="F71" s="5">
        <f>1375455/(30*1000000)</f>
        <v>0.0458485</v>
      </c>
      <c r="G71" s="6">
        <v>37929</v>
      </c>
      <c r="H71" s="6">
        <v>38350</v>
      </c>
    </row>
    <row r="72" spans="1:8" ht="11.25">
      <c r="A72" s="3">
        <f t="shared" si="1"/>
        <v>70</v>
      </c>
      <c r="B72" s="4" t="s">
        <v>348</v>
      </c>
      <c r="C72" s="3">
        <v>7706510334</v>
      </c>
      <c r="D72" s="5">
        <f>8324157612.63/(30*1000000)</f>
        <v>277.471920421</v>
      </c>
      <c r="E72" s="5">
        <f>327914650.95/(30*1000000)</f>
        <v>10.930488365</v>
      </c>
      <c r="F72" s="5">
        <f>373624/(30*1000000)</f>
        <v>0.012454133333333334</v>
      </c>
      <c r="G72" s="6">
        <v>38002</v>
      </c>
      <c r="H72" s="6">
        <v>38352</v>
      </c>
    </row>
    <row r="73" spans="1:8" ht="11.25">
      <c r="A73" s="3">
        <f t="shared" si="1"/>
        <v>71</v>
      </c>
      <c r="B73" s="4" t="s">
        <v>359</v>
      </c>
      <c r="C73" s="3">
        <v>7706508127</v>
      </c>
      <c r="D73" s="5">
        <f>8298085760.7/(30*1000000)</f>
        <v>276.60285869</v>
      </c>
      <c r="E73" s="5">
        <f>2028572272.77/(30*1000000)</f>
        <v>67.619075759</v>
      </c>
      <c r="F73" s="5">
        <f>2349/(30*1000000)</f>
        <v>7.83E-05</v>
      </c>
      <c r="G73" s="6">
        <v>38013</v>
      </c>
      <c r="H73" s="6">
        <v>38352</v>
      </c>
    </row>
    <row r="74" spans="1:8" ht="11.25">
      <c r="A74" s="3">
        <f t="shared" si="1"/>
        <v>72</v>
      </c>
      <c r="B74" s="4" t="s">
        <v>564</v>
      </c>
      <c r="C74" s="3">
        <v>7714522090</v>
      </c>
      <c r="D74" s="5">
        <f>8262219519.43/(30*1000000)</f>
        <v>275.40731731433334</v>
      </c>
      <c r="E74" s="5">
        <f>362523569.86/(30*1000000)</f>
        <v>12.084118995333334</v>
      </c>
      <c r="F74" s="5">
        <f>1661207/(30*1000000)</f>
        <v>0.055373566666666665</v>
      </c>
      <c r="G74" s="6">
        <v>37992</v>
      </c>
      <c r="H74" s="6">
        <v>38352</v>
      </c>
    </row>
    <row r="75" spans="1:8" ht="11.25">
      <c r="A75" s="3">
        <f t="shared" si="1"/>
        <v>73</v>
      </c>
      <c r="B75" s="4" t="s">
        <v>183</v>
      </c>
      <c r="C75" s="3">
        <v>7700055833</v>
      </c>
      <c r="D75" s="5">
        <f>8239947759.49/(30*1000000)</f>
        <v>274.6649253163333</v>
      </c>
      <c r="E75" s="5">
        <f>6895158225.18/(30*1000000)</f>
        <v>229.83860750600002</v>
      </c>
      <c r="F75" s="5">
        <f>5660/(30*1000000)</f>
        <v>0.00018866666666666665</v>
      </c>
      <c r="G75" s="6">
        <v>37625</v>
      </c>
      <c r="H75" s="6">
        <v>38208</v>
      </c>
    </row>
    <row r="76" spans="1:8" ht="11.25">
      <c r="A76" s="3">
        <f t="shared" si="1"/>
        <v>74</v>
      </c>
      <c r="B76" s="4" t="s">
        <v>368</v>
      </c>
      <c r="C76" s="3">
        <v>7710417698</v>
      </c>
      <c r="D76" s="5">
        <f>8199734641.91/(30*1000000)</f>
        <v>273.32448806366665</v>
      </c>
      <c r="E76" s="5">
        <f>317476366.08/(30*1000000)</f>
        <v>10.582545536</v>
      </c>
      <c r="F76" s="5">
        <f>3525785/(30*1000000)</f>
        <v>0.11752616666666667</v>
      </c>
      <c r="G76" s="6">
        <v>37625</v>
      </c>
      <c r="H76" s="6">
        <v>38352</v>
      </c>
    </row>
    <row r="77" spans="1:8" ht="11.25">
      <c r="A77" s="3">
        <f t="shared" si="1"/>
        <v>75</v>
      </c>
      <c r="B77" s="4" t="s">
        <v>193</v>
      </c>
      <c r="C77" s="3">
        <v>5260036939</v>
      </c>
      <c r="D77" s="5">
        <f>8177291145.17/(30*1000000)</f>
        <v>272.57637150566666</v>
      </c>
      <c r="E77" s="5">
        <f>7727594764.64/(30*1000000)</f>
        <v>257.5864921546667</v>
      </c>
      <c r="F77" s="5">
        <f>4797/(30*1000000)</f>
        <v>0.0001599</v>
      </c>
      <c r="G77" s="6">
        <v>37634</v>
      </c>
      <c r="H77" s="6">
        <v>38352</v>
      </c>
    </row>
    <row r="78" spans="1:8" ht="11.25">
      <c r="A78" s="3">
        <f t="shared" si="1"/>
        <v>76</v>
      </c>
      <c r="B78" s="4" t="s">
        <v>233</v>
      </c>
      <c r="C78" s="3">
        <v>4028026302</v>
      </c>
      <c r="D78" s="5">
        <f>8161506592.54/(30*1000000)</f>
        <v>272.0502197513333</v>
      </c>
      <c r="E78" s="5">
        <f>21130245.65/(30*1000000)</f>
        <v>0.7043415216666666</v>
      </c>
      <c r="F78" s="5">
        <f>12000/(30*1000000)</f>
        <v>0.0004</v>
      </c>
      <c r="G78" s="6">
        <v>37713</v>
      </c>
      <c r="H78" s="6">
        <v>38348</v>
      </c>
    </row>
    <row r="79" spans="1:8" ht="11.25">
      <c r="A79" s="3">
        <f t="shared" si="1"/>
        <v>77</v>
      </c>
      <c r="B79" s="4" t="s">
        <v>194</v>
      </c>
      <c r="C79" s="3">
        <v>507021939</v>
      </c>
      <c r="D79" s="5">
        <f>8157787316.4/(30*1000000)</f>
        <v>271.92624388</v>
      </c>
      <c r="E79" s="5">
        <f>6169703387.11/(30*1000000)</f>
        <v>205.65677957033333</v>
      </c>
      <c r="F79" s="5">
        <f>9508/(30*1000000)</f>
        <v>0.00031693333333333336</v>
      </c>
      <c r="G79" s="6">
        <v>37984</v>
      </c>
      <c r="H79" s="6">
        <v>38351</v>
      </c>
    </row>
    <row r="80" spans="1:8" ht="11.25">
      <c r="A80" s="3">
        <f t="shared" si="1"/>
        <v>78</v>
      </c>
      <c r="B80" s="4" t="s">
        <v>256</v>
      </c>
      <c r="C80" s="3">
        <v>7718248498</v>
      </c>
      <c r="D80" s="5">
        <f>8153990858.81/(30*1000000)</f>
        <v>271.7996952936667</v>
      </c>
      <c r="E80" s="5">
        <f>7757055249.52/(30*1000000)</f>
        <v>258.56850831733334</v>
      </c>
      <c r="F80" s="5">
        <f>14400/(30*1000000)</f>
        <v>0.00048</v>
      </c>
      <c r="G80" s="6">
        <v>37945</v>
      </c>
      <c r="H80" s="6">
        <v>38289</v>
      </c>
    </row>
    <row r="81" spans="1:8" ht="11.25">
      <c r="A81" s="3">
        <f t="shared" si="1"/>
        <v>79</v>
      </c>
      <c r="B81" s="4" t="s">
        <v>623</v>
      </c>
      <c r="C81" s="3">
        <v>7801243689</v>
      </c>
      <c r="D81" s="5">
        <f>8096758049.69/(30*1000000)</f>
        <v>269.89193498966665</v>
      </c>
      <c r="E81" s="5">
        <f>0/(30*1000000)</f>
        <v>0</v>
      </c>
      <c r="F81" s="5">
        <f>0/(30*1000000)</f>
        <v>0</v>
      </c>
      <c r="G81" s="6">
        <v>37956</v>
      </c>
      <c r="H81" s="6">
        <v>38351</v>
      </c>
    </row>
    <row r="82" spans="1:8" ht="11.25">
      <c r="A82" s="3">
        <f t="shared" si="1"/>
        <v>80</v>
      </c>
      <c r="B82" s="4" t="s">
        <v>619</v>
      </c>
      <c r="C82" s="3">
        <v>7727238873</v>
      </c>
      <c r="D82" s="5">
        <f>8083138549.58/(30*1000000)</f>
        <v>269.43795165266664</v>
      </c>
      <c r="E82" s="5">
        <f>2236742312.32/(30*1000000)</f>
        <v>74.55807707733334</v>
      </c>
      <c r="F82" s="5">
        <f>70172/(30*1000000)</f>
        <v>0.0023390666666666666</v>
      </c>
      <c r="G82" s="6">
        <v>37965</v>
      </c>
      <c r="H82" s="6">
        <v>38232</v>
      </c>
    </row>
    <row r="83" spans="1:8" ht="34.5">
      <c r="A83" s="3">
        <f t="shared" si="1"/>
        <v>81</v>
      </c>
      <c r="B83" s="4" t="s">
        <v>374</v>
      </c>
      <c r="C83" s="3">
        <v>7710521963</v>
      </c>
      <c r="D83" s="5">
        <f>8063955293.86/(30*1000000)</f>
        <v>268.7985097953333</v>
      </c>
      <c r="E83" s="5">
        <f>1735096969.89/(30*1000000)</f>
        <v>57.836565663</v>
      </c>
      <c r="F83" s="5">
        <f>767662/(30*1000000)</f>
        <v>0.025588733333333332</v>
      </c>
      <c r="G83" s="6">
        <v>38142</v>
      </c>
      <c r="H83" s="6">
        <v>38345</v>
      </c>
    </row>
    <row r="84" spans="1:8" ht="22.5">
      <c r="A84" s="3">
        <f t="shared" si="1"/>
        <v>82</v>
      </c>
      <c r="B84" s="4" t="s">
        <v>166</v>
      </c>
      <c r="C84" s="3">
        <v>7714299501</v>
      </c>
      <c r="D84" s="5">
        <f>7875948771.25/(30*1000000)</f>
        <v>262.5316257083333</v>
      </c>
      <c r="E84" s="5">
        <f>7875862771.25/(30*1000000)</f>
        <v>262.52875904166666</v>
      </c>
      <c r="F84" s="5">
        <f>0/(30*1000000)</f>
        <v>0</v>
      </c>
      <c r="G84" s="6">
        <v>37727</v>
      </c>
      <c r="H84" s="6">
        <v>38139</v>
      </c>
    </row>
    <row r="85" spans="1:8" ht="22.5">
      <c r="A85" s="3">
        <f t="shared" si="1"/>
        <v>83</v>
      </c>
      <c r="B85" s="4" t="s">
        <v>171</v>
      </c>
      <c r="C85" s="3">
        <v>7705489778</v>
      </c>
      <c r="D85" s="5">
        <f>7875859771.25/(30*1000000)</f>
        <v>262.5286590416667</v>
      </c>
      <c r="E85" s="5">
        <f>7875857000/(30*1000000)</f>
        <v>262.5285666666667</v>
      </c>
      <c r="F85" s="5">
        <f>0/(30*1000000)</f>
        <v>0</v>
      </c>
      <c r="G85" s="6">
        <v>37727</v>
      </c>
      <c r="H85" s="6">
        <v>37799</v>
      </c>
    </row>
    <row r="86" spans="1:8" ht="11.25">
      <c r="A86" s="3">
        <f t="shared" si="1"/>
        <v>84</v>
      </c>
      <c r="B86" s="4" t="s">
        <v>165</v>
      </c>
      <c r="C86" s="3">
        <v>7714262847</v>
      </c>
      <c r="D86" s="5">
        <f>7796149586.9/(30*1000000)</f>
        <v>259.87165289666666</v>
      </c>
      <c r="E86" s="5">
        <f>7761780792.23/(30*1000000)</f>
        <v>258.72602640766667</v>
      </c>
      <c r="F86" s="5">
        <f>20728/(30*1000000)</f>
        <v>0.0006909333333333333</v>
      </c>
      <c r="G86" s="6">
        <v>37684</v>
      </c>
      <c r="H86" s="6">
        <v>38329</v>
      </c>
    </row>
    <row r="87" spans="1:8" ht="11.25">
      <c r="A87" s="3">
        <f t="shared" si="1"/>
        <v>85</v>
      </c>
      <c r="B87" s="4" t="s">
        <v>1324</v>
      </c>
      <c r="C87" s="3">
        <v>7710371059</v>
      </c>
      <c r="D87" s="5">
        <f>7685937032.39/(30*1000000)</f>
        <v>256.1979010796667</v>
      </c>
      <c r="E87" s="5">
        <f>7307492876.77/(30*1000000)</f>
        <v>243.58309589233335</v>
      </c>
      <c r="F87" s="5">
        <f>0/(30*1000000)</f>
        <v>0</v>
      </c>
      <c r="G87" s="6">
        <v>37626</v>
      </c>
      <c r="H87" s="6">
        <v>38007</v>
      </c>
    </row>
    <row r="88" spans="1:8" ht="11.25">
      <c r="A88" s="3">
        <f t="shared" si="1"/>
        <v>86</v>
      </c>
      <c r="B88" s="4" t="s">
        <v>590</v>
      </c>
      <c r="C88" s="3">
        <v>7719268909</v>
      </c>
      <c r="D88" s="5">
        <f>7614045036.83/(30*1000000)</f>
        <v>253.80150122766668</v>
      </c>
      <c r="E88" s="5">
        <f>503083126.5/(30*1000000)</f>
        <v>16.76943755</v>
      </c>
      <c r="F88" s="5">
        <f>1246278/(30*1000000)</f>
        <v>0.0415426</v>
      </c>
      <c r="G88" s="6">
        <v>37852</v>
      </c>
      <c r="H88" s="6">
        <v>38342</v>
      </c>
    </row>
    <row r="89" spans="1:8" ht="11.25">
      <c r="A89" s="3">
        <f t="shared" si="1"/>
        <v>87</v>
      </c>
      <c r="B89" s="4" t="s">
        <v>1306</v>
      </c>
      <c r="C89" s="3">
        <v>7715368155</v>
      </c>
      <c r="D89" s="5">
        <f>7562647617.55/(30*1000000)</f>
        <v>252.08825391833335</v>
      </c>
      <c r="E89" s="5">
        <f>5583883747.09/(30*1000000)</f>
        <v>186.12945823633333</v>
      </c>
      <c r="F89" s="5">
        <f>1345608/(30*1000000)</f>
        <v>0.0448536</v>
      </c>
      <c r="G89" s="6">
        <v>37966</v>
      </c>
      <c r="H89" s="6">
        <v>38352</v>
      </c>
    </row>
    <row r="90" spans="1:8" ht="11.25">
      <c r="A90" s="3">
        <f t="shared" si="1"/>
        <v>88</v>
      </c>
      <c r="B90" s="4" t="s">
        <v>1312</v>
      </c>
      <c r="C90" s="3">
        <v>7717139922</v>
      </c>
      <c r="D90" s="5">
        <f>7108306000/(30*1000000)</f>
        <v>236.94353333333333</v>
      </c>
      <c r="E90" s="5">
        <f>7047809913.4/(30*1000000)</f>
        <v>234.92699711333333</v>
      </c>
      <c r="F90" s="5">
        <f>2214/(30*1000000)</f>
        <v>7.38E-05</v>
      </c>
      <c r="G90" s="6">
        <v>37985</v>
      </c>
      <c r="H90" s="6">
        <v>38352</v>
      </c>
    </row>
    <row r="91" spans="1:8" ht="11.25">
      <c r="A91" s="3">
        <f t="shared" si="1"/>
        <v>89</v>
      </c>
      <c r="B91" s="4" t="s">
        <v>291</v>
      </c>
      <c r="C91" s="3">
        <v>7703264225</v>
      </c>
      <c r="D91" s="5">
        <f>6891955876.85/(30*1000000)</f>
        <v>229.73186256166667</v>
      </c>
      <c r="E91" s="5">
        <f>270310023.72/(30*1000000)</f>
        <v>9.010334124000002</v>
      </c>
      <c r="F91" s="5">
        <f>2606/(30*1000000)</f>
        <v>8.686666666666667E-05</v>
      </c>
      <c r="G91" s="6">
        <v>37625</v>
      </c>
      <c r="H91" s="6">
        <v>38096</v>
      </c>
    </row>
    <row r="92" spans="1:8" ht="11.25">
      <c r="A92" s="3">
        <f t="shared" si="1"/>
        <v>90</v>
      </c>
      <c r="B92" s="4" t="s">
        <v>552</v>
      </c>
      <c r="C92" s="3">
        <v>7709533749</v>
      </c>
      <c r="D92" s="5">
        <f>6877046982.95/(30*1000000)</f>
        <v>229.23489943166666</v>
      </c>
      <c r="E92" s="5">
        <f>28739561.88/(30*1000000)</f>
        <v>0.957985396</v>
      </c>
      <c r="F92" s="5">
        <f>254165/(30*1000000)</f>
        <v>0.008472166666666666</v>
      </c>
      <c r="G92" s="6">
        <v>38131</v>
      </c>
      <c r="H92" s="6">
        <v>38348</v>
      </c>
    </row>
    <row r="93" spans="1:8" ht="11.25">
      <c r="A93" s="3">
        <f t="shared" si="1"/>
        <v>91</v>
      </c>
      <c r="B93" s="4" t="s">
        <v>572</v>
      </c>
      <c r="C93" s="3">
        <v>7724224872</v>
      </c>
      <c r="D93" s="5">
        <f>6765696074.56/(30*1000000)</f>
        <v>225.52320248533334</v>
      </c>
      <c r="E93" s="5">
        <f>1153590983.42/(30*1000000)</f>
        <v>38.45303278066667</v>
      </c>
      <c r="F93" s="5">
        <f>32730/(30*1000000)</f>
        <v>0.001091</v>
      </c>
      <c r="G93" s="6">
        <v>37625</v>
      </c>
      <c r="H93" s="6">
        <v>38351</v>
      </c>
    </row>
    <row r="94" spans="1:8" ht="11.25">
      <c r="A94" s="3">
        <f t="shared" si="1"/>
        <v>92</v>
      </c>
      <c r="B94" s="4" t="s">
        <v>1315</v>
      </c>
      <c r="C94" s="3">
        <v>7718227064</v>
      </c>
      <c r="D94" s="5">
        <f>6734266886.01/(30*1000000)</f>
        <v>224.475562867</v>
      </c>
      <c r="E94" s="5">
        <f>6374941037.29/(30*1000000)</f>
        <v>212.49803457633334</v>
      </c>
      <c r="F94" s="5">
        <f>11472/(30*1000000)</f>
        <v>0.0003824</v>
      </c>
      <c r="G94" s="6">
        <v>37666</v>
      </c>
      <c r="H94" s="6">
        <v>38352</v>
      </c>
    </row>
    <row r="95" spans="1:8" ht="11.25">
      <c r="A95" s="3">
        <f t="shared" si="1"/>
        <v>93</v>
      </c>
      <c r="B95" s="4" t="s">
        <v>1283</v>
      </c>
      <c r="C95" s="3">
        <v>8001008247</v>
      </c>
      <c r="D95" s="5">
        <f>6713440419.77/(30*1000000)</f>
        <v>223.78134732566667</v>
      </c>
      <c r="E95" s="5">
        <f>5826114165.76/(30*1000000)</f>
        <v>194.20380552533334</v>
      </c>
      <c r="F95" s="5">
        <f>7526/(30*1000000)</f>
        <v>0.0002508666666666667</v>
      </c>
      <c r="G95" s="6">
        <v>38079</v>
      </c>
      <c r="H95" s="6">
        <v>38352</v>
      </c>
    </row>
    <row r="96" spans="1:8" ht="11.25">
      <c r="A96" s="3">
        <f t="shared" si="1"/>
        <v>94</v>
      </c>
      <c r="B96" s="4" t="s">
        <v>687</v>
      </c>
      <c r="C96" s="3">
        <v>7729430406</v>
      </c>
      <c r="D96" s="5">
        <f>6678551839.03/(30*1000000)</f>
        <v>222.61839463433333</v>
      </c>
      <c r="E96" s="5">
        <f>2376487601.64/(30*1000000)</f>
        <v>79.216253388</v>
      </c>
      <c r="F96" s="5">
        <f>1388266/(30*1000000)</f>
        <v>0.046275533333333334</v>
      </c>
      <c r="G96" s="6">
        <v>37900</v>
      </c>
      <c r="H96" s="6">
        <v>38352</v>
      </c>
    </row>
    <row r="97" spans="1:8" ht="11.25">
      <c r="A97" s="3">
        <f t="shared" si="1"/>
        <v>95</v>
      </c>
      <c r="B97" s="4" t="s">
        <v>394</v>
      </c>
      <c r="C97" s="3">
        <v>7708187648</v>
      </c>
      <c r="D97" s="5">
        <f>6649869603.86/(30*1000000)</f>
        <v>221.66232012866666</v>
      </c>
      <c r="E97" s="5">
        <f>490072052.33/(30*1000000)</f>
        <v>16.335735077666666</v>
      </c>
      <c r="F97" s="5">
        <f>2104/(30*1000000)</f>
        <v>7.013333333333333E-05</v>
      </c>
      <c r="G97" s="6">
        <v>37625</v>
      </c>
      <c r="H97" s="6">
        <v>38013</v>
      </c>
    </row>
    <row r="98" spans="1:8" ht="11.25">
      <c r="A98" s="3">
        <f t="shared" si="1"/>
        <v>96</v>
      </c>
      <c r="B98" s="4" t="s">
        <v>427</v>
      </c>
      <c r="C98" s="3">
        <v>7714285450</v>
      </c>
      <c r="D98" s="5">
        <f>6625336893.17/(30*1000000)</f>
        <v>220.84456310566668</v>
      </c>
      <c r="E98" s="5">
        <f>914370755.03/(30*1000000)</f>
        <v>30.479025167666666</v>
      </c>
      <c r="F98" s="5">
        <f>19175/(30*1000000)</f>
        <v>0.0006391666666666667</v>
      </c>
      <c r="G98" s="6">
        <v>37729</v>
      </c>
      <c r="H98" s="6">
        <v>38167</v>
      </c>
    </row>
    <row r="99" spans="1:8" ht="22.5">
      <c r="A99" s="3">
        <f t="shared" si="1"/>
        <v>97</v>
      </c>
      <c r="B99" s="4" t="s">
        <v>1333</v>
      </c>
      <c r="C99" s="3">
        <v>7713179459</v>
      </c>
      <c r="D99" s="5">
        <f>6584698863.11/(30*1000000)</f>
        <v>219.48996210366664</v>
      </c>
      <c r="E99" s="5">
        <f>4952206963.4/(30*1000000)</f>
        <v>165.07356544666666</v>
      </c>
      <c r="F99" s="5">
        <f>1461/(30*1000000)</f>
        <v>4.87E-05</v>
      </c>
      <c r="G99" s="6">
        <v>37662</v>
      </c>
      <c r="H99" s="6">
        <v>38343</v>
      </c>
    </row>
    <row r="100" spans="1:8" ht="11.25">
      <c r="A100" s="3">
        <f t="shared" si="1"/>
        <v>98</v>
      </c>
      <c r="B100" s="4" t="s">
        <v>355</v>
      </c>
      <c r="C100" s="3">
        <v>7706298913</v>
      </c>
      <c r="D100" s="5">
        <f>6547546624.04/(30*1000000)</f>
        <v>218.25155413466666</v>
      </c>
      <c r="E100" s="5">
        <f>821863461.5/(30*1000000)</f>
        <v>27.395448716666667</v>
      </c>
      <c r="F100" s="5">
        <f>371107/(30*1000000)</f>
        <v>0.012370233333333333</v>
      </c>
      <c r="G100" s="6">
        <v>37960</v>
      </c>
      <c r="H100" s="6">
        <v>38352</v>
      </c>
    </row>
    <row r="101" spans="1:8" ht="11.25">
      <c r="A101" s="3">
        <f t="shared" si="1"/>
        <v>99</v>
      </c>
      <c r="B101" s="4" t="s">
        <v>1355</v>
      </c>
      <c r="C101" s="3">
        <v>7708227058</v>
      </c>
      <c r="D101" s="5">
        <f>6474899999.21/(30*1000000)</f>
        <v>215.82999997366667</v>
      </c>
      <c r="E101" s="5">
        <f>3441575148.62/(30*1000000)</f>
        <v>114.71917162066666</v>
      </c>
      <c r="F101" s="5">
        <f>3579/(30*1000000)</f>
        <v>0.0001193</v>
      </c>
      <c r="G101" s="6">
        <v>37958</v>
      </c>
      <c r="H101" s="6">
        <v>38349</v>
      </c>
    </row>
    <row r="102" spans="1:8" ht="11.25">
      <c r="A102" s="3">
        <f t="shared" si="1"/>
        <v>100</v>
      </c>
      <c r="B102" s="4" t="s">
        <v>1286</v>
      </c>
      <c r="C102" s="3">
        <v>8001008783</v>
      </c>
      <c r="D102" s="5">
        <f>6443227278.2/(30*1000000)</f>
        <v>214.77424260666666</v>
      </c>
      <c r="E102" s="5">
        <f>5737775835.51/(30*1000000)</f>
        <v>191.259194517</v>
      </c>
      <c r="F102" s="5">
        <f>6519/(30*1000000)</f>
        <v>0.0002173</v>
      </c>
      <c r="G102" s="6">
        <v>38169</v>
      </c>
      <c r="H102" s="6">
        <v>38348</v>
      </c>
    </row>
    <row r="103" spans="1:8" ht="11.25">
      <c r="A103" s="3">
        <f t="shared" si="1"/>
        <v>101</v>
      </c>
      <c r="B103" s="4" t="s">
        <v>218</v>
      </c>
      <c r="C103" s="3">
        <v>7733172331</v>
      </c>
      <c r="D103" s="5">
        <f>6419053147.5/(30*1000000)</f>
        <v>213.96843825</v>
      </c>
      <c r="E103" s="5">
        <f>4946181520/(30*1000000)</f>
        <v>164.87271733333333</v>
      </c>
      <c r="F103" s="5">
        <f>0/(30*1000000)</f>
        <v>0</v>
      </c>
      <c r="G103" s="6">
        <v>37837</v>
      </c>
      <c r="H103" s="6">
        <v>37942</v>
      </c>
    </row>
    <row r="104" spans="1:8" ht="11.25">
      <c r="A104" s="3">
        <f t="shared" si="1"/>
        <v>102</v>
      </c>
      <c r="B104" s="4" t="s">
        <v>632</v>
      </c>
      <c r="C104" s="3">
        <v>7724514701</v>
      </c>
      <c r="D104" s="5">
        <f>6373492887.91/(30*1000000)</f>
        <v>212.44976293033332</v>
      </c>
      <c r="E104" s="5">
        <f>489049128.34/(30*1000000)</f>
        <v>16.301637611333334</v>
      </c>
      <c r="F104" s="5">
        <f>0/(30*1000000)</f>
        <v>0</v>
      </c>
      <c r="G104" s="6">
        <v>38258</v>
      </c>
      <c r="H104" s="6">
        <v>38352</v>
      </c>
    </row>
    <row r="105" spans="1:8" ht="11.25">
      <c r="A105" s="3">
        <f t="shared" si="1"/>
        <v>103</v>
      </c>
      <c r="B105" s="4" t="s">
        <v>583</v>
      </c>
      <c r="C105" s="3">
        <v>7713287670</v>
      </c>
      <c r="D105" s="5">
        <f>6371434542.77/(30*1000000)</f>
        <v>212.38115142566667</v>
      </c>
      <c r="E105" s="5">
        <f>2884449889.44/(30*1000000)</f>
        <v>96.148329648</v>
      </c>
      <c r="F105" s="5">
        <f>0/(30*1000000)</f>
        <v>0</v>
      </c>
      <c r="G105" s="6">
        <v>37626</v>
      </c>
      <c r="H105" s="6">
        <v>37998</v>
      </c>
    </row>
    <row r="106" spans="1:8" ht="11.25">
      <c r="A106" s="3">
        <f t="shared" si="1"/>
        <v>104</v>
      </c>
      <c r="B106" s="4" t="s">
        <v>594</v>
      </c>
      <c r="C106" s="3">
        <v>7727241932</v>
      </c>
      <c r="D106" s="5">
        <f>6341507232.5/(30*1000000)</f>
        <v>211.38357441666668</v>
      </c>
      <c r="E106" s="5">
        <f>4868576000/(30*1000000)</f>
        <v>162.28586666666666</v>
      </c>
      <c r="F106" s="5">
        <f>0/(30*1000000)</f>
        <v>0</v>
      </c>
      <c r="G106" s="6">
        <v>37837</v>
      </c>
      <c r="H106" s="6">
        <v>37942</v>
      </c>
    </row>
    <row r="107" spans="1:8" ht="11.25">
      <c r="A107" s="3">
        <f t="shared" si="1"/>
        <v>105</v>
      </c>
      <c r="B107" s="4" t="s">
        <v>219</v>
      </c>
      <c r="C107" s="3">
        <v>7733167927</v>
      </c>
      <c r="D107" s="5">
        <f>6340906232.5/(30*1000000)</f>
        <v>211.36354108333333</v>
      </c>
      <c r="E107" s="5">
        <f>4714945990/(30*1000000)</f>
        <v>157.16486633333332</v>
      </c>
      <c r="F107" s="5">
        <f>0/(30*1000000)</f>
        <v>0</v>
      </c>
      <c r="G107" s="6">
        <v>37837</v>
      </c>
      <c r="H107" s="6">
        <v>37942</v>
      </c>
    </row>
    <row r="108" spans="1:8" ht="11.25">
      <c r="A108" s="3">
        <f t="shared" si="1"/>
        <v>106</v>
      </c>
      <c r="B108" s="4" t="s">
        <v>649</v>
      </c>
      <c r="C108" s="3">
        <v>7733178742</v>
      </c>
      <c r="D108" s="5">
        <f>6284486533.77/(30*1000000)</f>
        <v>209.48288445900002</v>
      </c>
      <c r="E108" s="5">
        <f>988730397.88/(30*1000000)</f>
        <v>32.95767992933333</v>
      </c>
      <c r="F108" s="5">
        <f>651137/(30*1000000)</f>
        <v>0.021704566666666668</v>
      </c>
      <c r="G108" s="6">
        <v>37910</v>
      </c>
      <c r="H108" s="6">
        <v>38352</v>
      </c>
    </row>
    <row r="109" spans="1:8" ht="22.5">
      <c r="A109" s="3">
        <f t="shared" si="1"/>
        <v>107</v>
      </c>
      <c r="B109" s="4" t="s">
        <v>388</v>
      </c>
      <c r="C109" s="3">
        <v>7707309452</v>
      </c>
      <c r="D109" s="5">
        <f>6241110139.51/(30*1000000)</f>
        <v>208.03700465033333</v>
      </c>
      <c r="E109" s="5">
        <f>35644650.64/(30*1000000)</f>
        <v>1.1881550213333334</v>
      </c>
      <c r="F109" s="5">
        <f>3304475/(30*1000000)</f>
        <v>0.11014916666666667</v>
      </c>
      <c r="G109" s="6">
        <v>37658</v>
      </c>
      <c r="H109" s="6">
        <v>38352</v>
      </c>
    </row>
    <row r="110" spans="1:8" ht="11.25">
      <c r="A110" s="3">
        <f t="shared" si="1"/>
        <v>108</v>
      </c>
      <c r="B110" s="4" t="s">
        <v>1280</v>
      </c>
      <c r="C110" s="3">
        <v>7725190048</v>
      </c>
      <c r="D110" s="5">
        <f>6238029885/(30*1000000)</f>
        <v>207.9343295</v>
      </c>
      <c r="E110" s="5">
        <f>6222824200/(30*1000000)</f>
        <v>207.42747333333332</v>
      </c>
      <c r="F110" s="5">
        <f>0/(30*1000000)</f>
        <v>0</v>
      </c>
      <c r="G110" s="6">
        <v>37795</v>
      </c>
      <c r="H110" s="6">
        <v>37839</v>
      </c>
    </row>
    <row r="111" spans="1:8" ht="11.25">
      <c r="A111" s="3">
        <f t="shared" si="1"/>
        <v>109</v>
      </c>
      <c r="B111" s="4" t="s">
        <v>673</v>
      </c>
      <c r="C111" s="3">
        <v>8905031779</v>
      </c>
      <c r="D111" s="5">
        <f>6191031847.12/(30*1000000)</f>
        <v>206.36772823733332</v>
      </c>
      <c r="E111" s="5">
        <f>11295000/(30*1000000)</f>
        <v>0.3765</v>
      </c>
      <c r="F111" s="5">
        <f>0/(30*1000000)</f>
        <v>0</v>
      </c>
      <c r="G111" s="6">
        <v>38009</v>
      </c>
      <c r="H111" s="6">
        <v>38348</v>
      </c>
    </row>
    <row r="112" spans="1:8" ht="34.5">
      <c r="A112" s="3">
        <f t="shared" si="1"/>
        <v>110</v>
      </c>
      <c r="B112" s="4" t="s">
        <v>591</v>
      </c>
      <c r="C112" s="3">
        <v>7743521341</v>
      </c>
      <c r="D112" s="5">
        <f>6111618875.04999/(30*1000000)</f>
        <v>203.72062916833298</v>
      </c>
      <c r="E112" s="5">
        <f>551002640.52/(30*1000000)</f>
        <v>18.366754684</v>
      </c>
      <c r="F112" s="5">
        <f>414818/(30*1000000)</f>
        <v>0.013827266666666666</v>
      </c>
      <c r="G112" s="6">
        <v>38148</v>
      </c>
      <c r="H112" s="6">
        <v>38352</v>
      </c>
    </row>
    <row r="113" spans="1:8" ht="11.25">
      <c r="A113" s="3">
        <f t="shared" si="1"/>
        <v>111</v>
      </c>
      <c r="B113" s="4" t="s">
        <v>333</v>
      </c>
      <c r="C113" s="3">
        <v>7703341374</v>
      </c>
      <c r="D113" s="5">
        <f>6083809290.68/(30*1000000)</f>
        <v>202.79364302266669</v>
      </c>
      <c r="E113" s="5">
        <f>482112057.26/(30*1000000)</f>
        <v>16.070401908666668</v>
      </c>
      <c r="F113" s="5">
        <f>0/(30*1000000)</f>
        <v>0</v>
      </c>
      <c r="G113" s="6">
        <v>37740</v>
      </c>
      <c r="H113" s="6">
        <v>37918</v>
      </c>
    </row>
    <row r="114" spans="1:8" ht="11.25">
      <c r="A114" s="3">
        <f t="shared" si="1"/>
        <v>112</v>
      </c>
      <c r="B114" s="4" t="s">
        <v>251</v>
      </c>
      <c r="C114" s="3">
        <v>6626013832</v>
      </c>
      <c r="D114" s="5">
        <f>6078534550.86/(30*1000000)</f>
        <v>202.61781836199998</v>
      </c>
      <c r="E114" s="5">
        <f>996732231.34/(30*1000000)</f>
        <v>33.224407711333335</v>
      </c>
      <c r="F114" s="5">
        <f>536165/(30*1000000)</f>
        <v>0.017872166666666668</v>
      </c>
      <c r="G114" s="6">
        <v>37904</v>
      </c>
      <c r="H114" s="6">
        <v>38329</v>
      </c>
    </row>
    <row r="115" spans="1:8" ht="11.25">
      <c r="A115" s="3">
        <f t="shared" si="1"/>
        <v>113</v>
      </c>
      <c r="B115" s="4" t="s">
        <v>1293</v>
      </c>
      <c r="C115" s="3">
        <v>7728267884</v>
      </c>
      <c r="D115" s="5">
        <f>6067649807.09/(30*1000000)</f>
        <v>202.25499356966668</v>
      </c>
      <c r="E115" s="5">
        <f>5125324059.09/(30*1000000)</f>
        <v>170.844135303</v>
      </c>
      <c r="F115" s="5">
        <f>13004/(30*1000000)</f>
        <v>0.00043346666666666667</v>
      </c>
      <c r="G115" s="6">
        <v>37656</v>
      </c>
      <c r="H115" s="6">
        <v>38043</v>
      </c>
    </row>
    <row r="116" spans="1:8" ht="22.5">
      <c r="A116" s="3">
        <f t="shared" si="1"/>
        <v>114</v>
      </c>
      <c r="B116" s="4" t="s">
        <v>663</v>
      </c>
      <c r="C116" s="3">
        <v>7702327994</v>
      </c>
      <c r="D116" s="5">
        <f>5988709293.83/(30*1000000)</f>
        <v>199.62364312766667</v>
      </c>
      <c r="E116" s="5">
        <f>2167112622.61/(30*1000000)</f>
        <v>72.23708742033334</v>
      </c>
      <c r="F116" s="5">
        <f>2777258/(30*1000000)</f>
        <v>0.09257526666666667</v>
      </c>
      <c r="G116" s="6">
        <v>37625</v>
      </c>
      <c r="H116" s="6">
        <v>38352</v>
      </c>
    </row>
    <row r="117" spans="1:8" ht="22.5">
      <c r="A117" s="3">
        <f t="shared" si="1"/>
        <v>115</v>
      </c>
      <c r="B117" s="4" t="s">
        <v>339</v>
      </c>
      <c r="C117" s="3">
        <v>7703361194</v>
      </c>
      <c r="D117" s="5">
        <f>5951959449.61/(30*1000000)</f>
        <v>198.3986483203333</v>
      </c>
      <c r="E117" s="5">
        <f>676225507.91/(30*1000000)</f>
        <v>22.540850263666666</v>
      </c>
      <c r="F117" s="5">
        <f>581072/(30*1000000)</f>
        <v>0.019369066666666667</v>
      </c>
      <c r="G117" s="6">
        <v>37664</v>
      </c>
      <c r="H117" s="6">
        <v>38352</v>
      </c>
    </row>
    <row r="118" spans="1:8" ht="11.25">
      <c r="A118" s="3">
        <f t="shared" si="1"/>
        <v>116</v>
      </c>
      <c r="B118" s="4" t="s">
        <v>592</v>
      </c>
      <c r="C118" s="3">
        <v>7729426840</v>
      </c>
      <c r="D118" s="5">
        <f>5937313217.37/(30*1000000)</f>
        <v>197.910440579</v>
      </c>
      <c r="E118" s="5">
        <f>35177253.25/(30*1000000)</f>
        <v>1.1725751083333333</v>
      </c>
      <c r="F118" s="5">
        <f>421/(30*1000000)</f>
        <v>1.4033333333333333E-05</v>
      </c>
      <c r="G118" s="6">
        <v>37896</v>
      </c>
      <c r="H118" s="6">
        <v>38127</v>
      </c>
    </row>
    <row r="119" spans="1:8" ht="22.5">
      <c r="A119" s="3">
        <f t="shared" si="1"/>
        <v>117</v>
      </c>
      <c r="B119" s="4" t="s">
        <v>1363</v>
      </c>
      <c r="C119" s="3">
        <v>7709413410</v>
      </c>
      <c r="D119" s="5">
        <f>5932885881/(30*1000000)</f>
        <v>197.7628627</v>
      </c>
      <c r="E119" s="5">
        <f>5444686187.03/(30*1000000)</f>
        <v>181.48953956766667</v>
      </c>
      <c r="F119" s="5">
        <f>475/(30*1000000)</f>
        <v>1.5833333333333333E-05</v>
      </c>
      <c r="G119" s="6">
        <v>37804</v>
      </c>
      <c r="H119" s="6">
        <v>37942</v>
      </c>
    </row>
    <row r="120" spans="1:8" ht="11.25">
      <c r="A120" s="3">
        <f t="shared" si="1"/>
        <v>118</v>
      </c>
      <c r="B120" s="4" t="s">
        <v>287</v>
      </c>
      <c r="C120" s="3">
        <v>7702510686</v>
      </c>
      <c r="D120" s="5">
        <f>5928727332.04/(30*1000000)</f>
        <v>197.62424440133333</v>
      </c>
      <c r="E120" s="5">
        <f>2918667580.37/(30*1000000)</f>
        <v>97.28891934566666</v>
      </c>
      <c r="F120" s="5">
        <f>0/(30*1000000)</f>
        <v>0</v>
      </c>
      <c r="G120" s="6">
        <v>38176</v>
      </c>
      <c r="H120" s="6">
        <v>38239</v>
      </c>
    </row>
    <row r="121" spans="1:8" ht="11.25">
      <c r="A121" s="3">
        <f t="shared" si="1"/>
        <v>119</v>
      </c>
      <c r="B121" s="4" t="s">
        <v>157</v>
      </c>
      <c r="C121" s="3">
        <v>7703321882</v>
      </c>
      <c r="D121" s="5">
        <f>5896317040.16/(30*1000000)</f>
        <v>196.54390133866667</v>
      </c>
      <c r="E121" s="5">
        <f>4028644433.74/(30*1000000)</f>
        <v>134.28814779133333</v>
      </c>
      <c r="F121" s="5">
        <f>22939/(30*1000000)</f>
        <v>0.0007646333333333333</v>
      </c>
      <c r="G121" s="6">
        <v>37625</v>
      </c>
      <c r="H121" s="6">
        <v>38351</v>
      </c>
    </row>
    <row r="122" spans="1:8" ht="11.25">
      <c r="A122" s="3">
        <f t="shared" si="1"/>
        <v>120</v>
      </c>
      <c r="B122" s="4" t="s">
        <v>560</v>
      </c>
      <c r="C122" s="3">
        <v>7714314630</v>
      </c>
      <c r="D122" s="5">
        <f>5881381592.71/(30*1000000)</f>
        <v>196.04605309033334</v>
      </c>
      <c r="E122" s="5">
        <f>21598905.6/(30*1000000)</f>
        <v>0.7199635200000001</v>
      </c>
      <c r="F122" s="5">
        <f>1722/(30*1000000)</f>
        <v>5.74E-05</v>
      </c>
      <c r="G122" s="6">
        <v>37964</v>
      </c>
      <c r="H122" s="6">
        <v>38331</v>
      </c>
    </row>
    <row r="123" spans="1:8" ht="11.25">
      <c r="A123" s="3">
        <f t="shared" si="1"/>
        <v>121</v>
      </c>
      <c r="B123" s="4" t="s">
        <v>1285</v>
      </c>
      <c r="C123" s="3">
        <v>8001008776</v>
      </c>
      <c r="D123" s="5">
        <f>5880510378.65/(30*1000000)</f>
        <v>196.01701262166665</v>
      </c>
      <c r="E123" s="5">
        <f>3087094301.77/(30*1000000)</f>
        <v>102.90314339233333</v>
      </c>
      <c r="F123" s="5">
        <f>1471/(30*1000000)</f>
        <v>4.903333333333333E-05</v>
      </c>
      <c r="G123" s="6">
        <v>38211</v>
      </c>
      <c r="H123" s="6">
        <v>38321</v>
      </c>
    </row>
    <row r="124" spans="1:8" ht="11.25">
      <c r="A124" s="3">
        <f t="shared" si="1"/>
        <v>122</v>
      </c>
      <c r="B124" s="4" t="s">
        <v>559</v>
      </c>
      <c r="C124" s="3">
        <v>7714314125</v>
      </c>
      <c r="D124" s="5">
        <f>5878309223.34/(30*1000000)</f>
        <v>195.943640778</v>
      </c>
      <c r="E124" s="5">
        <f>1462017275.4/(30*1000000)</f>
        <v>48.733909180000005</v>
      </c>
      <c r="F124" s="5">
        <f>4074/(30*1000000)</f>
        <v>0.0001358</v>
      </c>
      <c r="G124" s="6">
        <v>37958</v>
      </c>
      <c r="H124" s="6">
        <v>38349</v>
      </c>
    </row>
    <row r="125" spans="1:8" ht="11.25">
      <c r="A125" s="3">
        <f t="shared" si="1"/>
        <v>123</v>
      </c>
      <c r="B125" s="4" t="s">
        <v>610</v>
      </c>
      <c r="C125" s="3">
        <v>7718202334</v>
      </c>
      <c r="D125" s="5">
        <f>5858513831.49/(30*1000000)</f>
        <v>195.283794383</v>
      </c>
      <c r="E125" s="5">
        <f>762400426.03/(30*1000000)</f>
        <v>25.413347534333333</v>
      </c>
      <c r="F125" s="5">
        <f>128138/(30*1000000)</f>
        <v>0.0042712666666666664</v>
      </c>
      <c r="G125" s="6">
        <v>37625</v>
      </c>
      <c r="H125" s="6">
        <v>37960</v>
      </c>
    </row>
    <row r="126" spans="1:8" ht="11.25">
      <c r="A126" s="3">
        <f t="shared" si="1"/>
        <v>124</v>
      </c>
      <c r="B126" s="4" t="s">
        <v>1321</v>
      </c>
      <c r="C126" s="3">
        <v>7723506987</v>
      </c>
      <c r="D126" s="5">
        <f>5856719096.46/(30*1000000)</f>
        <v>195.223969882</v>
      </c>
      <c r="E126" s="5">
        <f>4531321204.6/(30*1000000)</f>
        <v>151.04404015333336</v>
      </c>
      <c r="F126" s="5">
        <f>0/(30*1000000)</f>
        <v>0</v>
      </c>
      <c r="G126" s="6">
        <v>38163</v>
      </c>
      <c r="H126" s="6">
        <v>38352</v>
      </c>
    </row>
    <row r="127" spans="1:8" ht="11.25">
      <c r="A127" s="3">
        <f t="shared" si="1"/>
        <v>125</v>
      </c>
      <c r="B127" s="4" t="s">
        <v>597</v>
      </c>
      <c r="C127" s="3">
        <v>7733114820</v>
      </c>
      <c r="D127" s="5">
        <f>5850924764/(30*1000000)</f>
        <v>195.03082546666667</v>
      </c>
      <c r="E127" s="5">
        <f>1024269366/(30*1000000)</f>
        <v>34.1423122</v>
      </c>
      <c r="F127" s="5">
        <f>98305/(30*1000000)</f>
        <v>0.0032768333333333334</v>
      </c>
      <c r="G127" s="6">
        <v>37631</v>
      </c>
      <c r="H127" s="6">
        <v>38352</v>
      </c>
    </row>
    <row r="128" spans="1:8" ht="11.25">
      <c r="A128" s="3">
        <f t="shared" si="1"/>
        <v>126</v>
      </c>
      <c r="B128" s="4" t="s">
        <v>211</v>
      </c>
      <c r="C128" s="3">
        <v>7709387664</v>
      </c>
      <c r="D128" s="5">
        <f>5771249179.09/(30*1000000)</f>
        <v>192.37497263633333</v>
      </c>
      <c r="E128" s="5">
        <f>710744564.88/(30*1000000)</f>
        <v>23.691485496</v>
      </c>
      <c r="F128" s="5">
        <f>3822/(30*1000000)</f>
        <v>0.0001274</v>
      </c>
      <c r="G128" s="6">
        <v>37683</v>
      </c>
      <c r="H128" s="6">
        <v>38352</v>
      </c>
    </row>
    <row r="129" spans="1:8" ht="11.25">
      <c r="A129" s="3">
        <f t="shared" si="1"/>
        <v>127</v>
      </c>
      <c r="B129" s="4" t="s">
        <v>400</v>
      </c>
      <c r="C129" s="3">
        <v>7708227065</v>
      </c>
      <c r="D129" s="5">
        <f>5765015804.24/(30*1000000)</f>
        <v>192.16719347466665</v>
      </c>
      <c r="E129" s="5">
        <f>1273805756.4/(30*1000000)</f>
        <v>42.46019188</v>
      </c>
      <c r="F129" s="5">
        <f>3454/(30*1000000)</f>
        <v>0.00011513333333333333</v>
      </c>
      <c r="G129" s="6">
        <v>37963</v>
      </c>
      <c r="H129" s="6">
        <v>38345</v>
      </c>
    </row>
    <row r="130" spans="1:8" ht="11.25">
      <c r="A130" s="3">
        <f t="shared" si="1"/>
        <v>128</v>
      </c>
      <c r="B130" s="4" t="s">
        <v>210</v>
      </c>
      <c r="C130" s="3">
        <v>7723508416</v>
      </c>
      <c r="D130" s="5">
        <f>5677429110/(30*1000000)</f>
        <v>189.247637</v>
      </c>
      <c r="E130" s="5">
        <f>28726300/(30*1000000)</f>
        <v>0.9575433333333333</v>
      </c>
      <c r="F130" s="5">
        <f>0/(30*1000000)</f>
        <v>0</v>
      </c>
      <c r="G130" s="6">
        <v>38202</v>
      </c>
      <c r="H130" s="6">
        <v>38352</v>
      </c>
    </row>
    <row r="131" spans="1:8" ht="11.25">
      <c r="A131" s="3">
        <f t="shared" si="1"/>
        <v>129</v>
      </c>
      <c r="B131" s="4" t="s">
        <v>629</v>
      </c>
      <c r="C131" s="3">
        <v>7724253810</v>
      </c>
      <c r="D131" s="5">
        <f>5662253748.83/(30*1000000)</f>
        <v>188.74179162766666</v>
      </c>
      <c r="E131" s="5">
        <f>1469952370.91/(30*1000000)</f>
        <v>48.99841236366667</v>
      </c>
      <c r="F131" s="5">
        <f>1542702/(30*1000000)</f>
        <v>0.0514234</v>
      </c>
      <c r="G131" s="6">
        <v>37691</v>
      </c>
      <c r="H131" s="6">
        <v>38142</v>
      </c>
    </row>
    <row r="132" spans="1:8" ht="11.25">
      <c r="A132" s="3">
        <f t="shared" si="1"/>
        <v>130</v>
      </c>
      <c r="B132" s="4" t="s">
        <v>396</v>
      </c>
      <c r="C132" s="3">
        <v>7708205505</v>
      </c>
      <c r="D132" s="5">
        <f>5660512660.91/(30*1000000)</f>
        <v>188.68375536366665</v>
      </c>
      <c r="E132" s="5">
        <f>94634532.41/(30*1000000)</f>
        <v>3.1544844136666668</v>
      </c>
      <c r="F132" s="5">
        <f>33091/(30*1000000)</f>
        <v>0.0011030333333333334</v>
      </c>
      <c r="G132" s="6">
        <v>37645</v>
      </c>
      <c r="H132" s="6">
        <v>38352</v>
      </c>
    </row>
    <row r="133" spans="1:8" ht="11.25">
      <c r="A133" s="3">
        <f aca="true" t="shared" si="2" ref="A133:A196">1+A132</f>
        <v>131</v>
      </c>
      <c r="B133" s="4" t="s">
        <v>371</v>
      </c>
      <c r="C133" s="3">
        <v>7710467410</v>
      </c>
      <c r="D133" s="5">
        <f>5657584327.24/(30*1000000)</f>
        <v>188.58614424133333</v>
      </c>
      <c r="E133" s="5">
        <f>20711347.06/(30*1000000)</f>
        <v>0.6903782353333333</v>
      </c>
      <c r="F133" s="5">
        <f>4326/(30*1000000)</f>
        <v>0.0001442</v>
      </c>
      <c r="G133" s="6">
        <v>37924</v>
      </c>
      <c r="H133" s="6">
        <v>38190</v>
      </c>
    </row>
    <row r="134" spans="1:8" ht="11.25">
      <c r="A134" s="3">
        <f t="shared" si="2"/>
        <v>132</v>
      </c>
      <c r="B134" s="4" t="s">
        <v>1298</v>
      </c>
      <c r="C134" s="3">
        <v>7734250889</v>
      </c>
      <c r="D134" s="5">
        <f>5644386058.47/(30*1000000)</f>
        <v>188.14620194900002</v>
      </c>
      <c r="E134" s="5">
        <f>4993005732.07/(30*1000000)</f>
        <v>166.43352440233332</v>
      </c>
      <c r="F134" s="5">
        <f>1979/(30*1000000)</f>
        <v>6.596666666666667E-05</v>
      </c>
      <c r="G134" s="6">
        <v>37649</v>
      </c>
      <c r="H134" s="6">
        <v>38097</v>
      </c>
    </row>
    <row r="135" spans="1:8" ht="11.25">
      <c r="A135" s="3">
        <f t="shared" si="2"/>
        <v>133</v>
      </c>
      <c r="B135" s="4" t="s">
        <v>659</v>
      </c>
      <c r="C135" s="3">
        <v>7736234138</v>
      </c>
      <c r="D135" s="5">
        <f>5625065290.93/(30*1000000)</f>
        <v>187.50217636433334</v>
      </c>
      <c r="E135" s="5">
        <f>2249146619.2/(30*1000000)</f>
        <v>74.97155397333333</v>
      </c>
      <c r="F135" s="5">
        <f>1618/(30*1000000)</f>
        <v>5.3933333333333334E-05</v>
      </c>
      <c r="G135" s="6">
        <v>38047</v>
      </c>
      <c r="H135" s="6">
        <v>38350</v>
      </c>
    </row>
    <row r="136" spans="1:8" ht="11.25">
      <c r="A136" s="3">
        <f t="shared" si="2"/>
        <v>134</v>
      </c>
      <c r="B136" s="4" t="s">
        <v>234</v>
      </c>
      <c r="C136" s="3">
        <v>7701327039</v>
      </c>
      <c r="D136" s="5">
        <f>5616816130.23/(30*1000000)</f>
        <v>187.22720434099998</v>
      </c>
      <c r="E136" s="5">
        <f>3791300555.67/(30*1000000)</f>
        <v>126.376685189</v>
      </c>
      <c r="F136" s="5">
        <f>6529/(30*1000000)</f>
        <v>0.00021763333333333333</v>
      </c>
      <c r="G136" s="6">
        <v>37846</v>
      </c>
      <c r="H136" s="6">
        <v>38352</v>
      </c>
    </row>
    <row r="137" spans="1:8" ht="22.5">
      <c r="A137" s="3">
        <f t="shared" si="2"/>
        <v>135</v>
      </c>
      <c r="B137" s="4" t="s">
        <v>336</v>
      </c>
      <c r="C137" s="3">
        <v>7703346598</v>
      </c>
      <c r="D137" s="5">
        <f>5599255836.37/(30*1000000)</f>
        <v>186.64186121233334</v>
      </c>
      <c r="E137" s="5">
        <f>1322843453.43/(30*1000000)</f>
        <v>44.094781781</v>
      </c>
      <c r="F137" s="5">
        <f>9532/(30*1000000)</f>
        <v>0.0003177333333333333</v>
      </c>
      <c r="G137" s="6">
        <v>37643</v>
      </c>
      <c r="H137" s="6">
        <v>38019</v>
      </c>
    </row>
    <row r="138" spans="1:8" ht="11.25">
      <c r="A138" s="3">
        <f t="shared" si="2"/>
        <v>136</v>
      </c>
      <c r="B138" s="4" t="s">
        <v>670</v>
      </c>
      <c r="C138" s="3">
        <v>8001007998</v>
      </c>
      <c r="D138" s="5">
        <f>5598859367.78/(30*1000000)</f>
        <v>186.62864559266666</v>
      </c>
      <c r="E138" s="5">
        <f>2785222508.25/(30*1000000)</f>
        <v>92.840750275</v>
      </c>
      <c r="F138" s="5">
        <f>10605/(30*1000000)</f>
        <v>0.0003535</v>
      </c>
      <c r="G138" s="6">
        <v>38027</v>
      </c>
      <c r="H138" s="6">
        <v>38351</v>
      </c>
    </row>
    <row r="139" spans="1:8" ht="22.5">
      <c r="A139" s="3">
        <f t="shared" si="2"/>
        <v>137</v>
      </c>
      <c r="B139" s="4" t="s">
        <v>334</v>
      </c>
      <c r="C139" s="3">
        <v>7703345058</v>
      </c>
      <c r="D139" s="5">
        <f>5555626220.81/(30*1000000)</f>
        <v>185.18754069366668</v>
      </c>
      <c r="E139" s="5">
        <f>95233890.62/(30*1000000)</f>
        <v>3.174463020666667</v>
      </c>
      <c r="F139" s="5">
        <f>544961/(30*1000000)</f>
        <v>0.018165366666666665</v>
      </c>
      <c r="G139" s="6">
        <v>37625</v>
      </c>
      <c r="H139" s="6">
        <v>38279</v>
      </c>
    </row>
    <row r="140" spans="1:8" ht="11.25">
      <c r="A140" s="3">
        <f t="shared" si="2"/>
        <v>138</v>
      </c>
      <c r="B140" s="4" t="s">
        <v>294</v>
      </c>
      <c r="C140" s="3">
        <v>7705487650</v>
      </c>
      <c r="D140" s="5">
        <f>5392802027.01/(30*1000000)</f>
        <v>179.76006756700002</v>
      </c>
      <c r="E140" s="5">
        <f>452725279.72/(30*1000000)</f>
        <v>15.090842657333335</v>
      </c>
      <c r="F140" s="5">
        <f>2141354/(30*1000000)</f>
        <v>0.07137846666666667</v>
      </c>
      <c r="G140" s="6">
        <v>37739</v>
      </c>
      <c r="H140" s="6">
        <v>38162</v>
      </c>
    </row>
    <row r="141" spans="1:8" ht="11.25">
      <c r="A141" s="3">
        <f t="shared" si="2"/>
        <v>139</v>
      </c>
      <c r="B141" s="4" t="s">
        <v>271</v>
      </c>
      <c r="C141" s="3">
        <v>7705398182</v>
      </c>
      <c r="D141" s="5">
        <f>5281535880.1/(30*1000000)</f>
        <v>176.05119600333336</v>
      </c>
      <c r="E141" s="5">
        <f>41550849.42/(30*1000000)</f>
        <v>1.3850283140000001</v>
      </c>
      <c r="F141" s="5">
        <f>488241/(30*1000000)</f>
        <v>0.0162747</v>
      </c>
      <c r="G141" s="6">
        <v>37625</v>
      </c>
      <c r="H141" s="6">
        <v>38261</v>
      </c>
    </row>
    <row r="142" spans="1:8" ht="11.25">
      <c r="A142" s="3">
        <f t="shared" si="2"/>
        <v>140</v>
      </c>
      <c r="B142" s="4" t="s">
        <v>626</v>
      </c>
      <c r="C142" s="3">
        <v>7733503463</v>
      </c>
      <c r="D142" s="5">
        <f>5259237866.65/(30*1000000)</f>
        <v>175.30792888833332</v>
      </c>
      <c r="E142" s="5">
        <f>111734363.04/(30*1000000)</f>
        <v>3.7244787680000004</v>
      </c>
      <c r="F142" s="5">
        <f>2345/(30*1000000)</f>
        <v>7.816666666666666E-05</v>
      </c>
      <c r="G142" s="6">
        <v>38175</v>
      </c>
      <c r="H142" s="6">
        <v>38352</v>
      </c>
    </row>
    <row r="143" spans="1:8" ht="11.25">
      <c r="A143" s="3">
        <f t="shared" si="2"/>
        <v>141</v>
      </c>
      <c r="B143" s="4" t="s">
        <v>273</v>
      </c>
      <c r="C143" s="3">
        <v>7705449951</v>
      </c>
      <c r="D143" s="5">
        <f>5236782361.69/(30*1000000)</f>
        <v>174.55941205633331</v>
      </c>
      <c r="E143" s="5">
        <f>1026529564.65/(30*1000000)</f>
        <v>34.217652154999996</v>
      </c>
      <c r="F143" s="5">
        <f>702527/(30*1000000)</f>
        <v>0.023417566666666667</v>
      </c>
      <c r="G143" s="6">
        <v>37631</v>
      </c>
      <c r="H143" s="6">
        <v>38225</v>
      </c>
    </row>
    <row r="144" spans="1:8" ht="22.5">
      <c r="A144" s="3">
        <f t="shared" si="2"/>
        <v>142</v>
      </c>
      <c r="B144" s="4" t="s">
        <v>1187</v>
      </c>
      <c r="C144" s="3">
        <v>7715375561</v>
      </c>
      <c r="D144" s="5">
        <f>5205277516.14/(30*1000000)</f>
        <v>173.509250538</v>
      </c>
      <c r="E144" s="5">
        <f>56262298.69/(30*1000000)</f>
        <v>1.8754099563333333</v>
      </c>
      <c r="F144" s="5">
        <f>4750/(30*1000000)</f>
        <v>0.00015833333333333332</v>
      </c>
      <c r="G144" s="6">
        <v>37782</v>
      </c>
      <c r="H144" s="6">
        <v>38092</v>
      </c>
    </row>
    <row r="145" spans="1:8" ht="11.25">
      <c r="A145" s="3">
        <f t="shared" si="2"/>
        <v>143</v>
      </c>
      <c r="B145" s="4" t="s">
        <v>682</v>
      </c>
      <c r="C145" s="3">
        <v>7722229730</v>
      </c>
      <c r="D145" s="5">
        <f>5200229458.95/(30*1000000)</f>
        <v>173.340981965</v>
      </c>
      <c r="E145" s="5">
        <f>1630637476.24/(30*1000000)</f>
        <v>54.354582541333336</v>
      </c>
      <c r="F145" s="5">
        <f>181292/(30*1000000)</f>
        <v>0.006043066666666667</v>
      </c>
      <c r="G145" s="6">
        <v>37642</v>
      </c>
      <c r="H145" s="6">
        <v>38338</v>
      </c>
    </row>
    <row r="146" spans="1:8" ht="11.25">
      <c r="A146" s="3">
        <f t="shared" si="2"/>
        <v>144</v>
      </c>
      <c r="B146" s="4" t="s">
        <v>335</v>
      </c>
      <c r="C146" s="3">
        <v>7703346284</v>
      </c>
      <c r="D146" s="5">
        <f>5170774931.35/(30*1000000)</f>
        <v>172.35916437833333</v>
      </c>
      <c r="E146" s="5">
        <f>329355616.29/(30*1000000)</f>
        <v>10.978520543</v>
      </c>
      <c r="F146" s="5">
        <f>380790/(30*1000000)</f>
        <v>0.012693</v>
      </c>
      <c r="G146" s="6">
        <v>37625</v>
      </c>
      <c r="H146" s="6">
        <v>38043</v>
      </c>
    </row>
    <row r="147" spans="1:8" ht="11.25">
      <c r="A147" s="3">
        <f t="shared" si="2"/>
        <v>145</v>
      </c>
      <c r="B147" s="4" t="s">
        <v>264</v>
      </c>
      <c r="C147" s="3">
        <v>7733140467</v>
      </c>
      <c r="D147" s="5">
        <f>5136061749.67/(30*1000000)</f>
        <v>171.20205832233333</v>
      </c>
      <c r="E147" s="5">
        <f>24025454.35/(30*1000000)</f>
        <v>0.8008484783333334</v>
      </c>
      <c r="F147" s="5">
        <f>2672/(30*1000000)</f>
        <v>8.906666666666667E-05</v>
      </c>
      <c r="G147" s="6">
        <v>37692</v>
      </c>
      <c r="H147" s="6">
        <v>37931</v>
      </c>
    </row>
    <row r="148" spans="1:8" ht="11.25">
      <c r="A148" s="3">
        <f t="shared" si="2"/>
        <v>146</v>
      </c>
      <c r="B148" s="4" t="s">
        <v>1341</v>
      </c>
      <c r="C148" s="3">
        <v>7714315048</v>
      </c>
      <c r="D148" s="5">
        <f>5126490064.57/(30*1000000)</f>
        <v>170.88300215233332</v>
      </c>
      <c r="E148" s="5">
        <f>5021511433.3/(30*1000000)</f>
        <v>167.38371444333333</v>
      </c>
      <c r="F148" s="5">
        <f>2082/(30*1000000)</f>
        <v>6.94E-05</v>
      </c>
      <c r="G148" s="6">
        <v>37918</v>
      </c>
      <c r="H148" s="6">
        <v>38348</v>
      </c>
    </row>
    <row r="149" spans="1:8" ht="11.25">
      <c r="A149" s="3">
        <f t="shared" si="2"/>
        <v>147</v>
      </c>
      <c r="B149" s="4" t="s">
        <v>223</v>
      </c>
      <c r="C149" s="3">
        <v>7705478663</v>
      </c>
      <c r="D149" s="5">
        <f>5118988507.69/(30*1000000)</f>
        <v>170.63295025633332</v>
      </c>
      <c r="E149" s="5">
        <f>390072066.56/(30*1000000)</f>
        <v>13.002402218666667</v>
      </c>
      <c r="F149" s="5">
        <f>1027472/(30*1000000)</f>
        <v>0.03424906666666667</v>
      </c>
      <c r="G149" s="6">
        <v>37641</v>
      </c>
      <c r="H149" s="6">
        <v>38352</v>
      </c>
    </row>
    <row r="150" spans="1:8" ht="11.25">
      <c r="A150" s="3">
        <f t="shared" si="2"/>
        <v>148</v>
      </c>
      <c r="B150" s="4" t="s">
        <v>242</v>
      </c>
      <c r="C150" s="3">
        <v>5407245660</v>
      </c>
      <c r="D150" s="5">
        <f>5103045055.69/(30*1000000)</f>
        <v>170.10150185633333</v>
      </c>
      <c r="E150" s="5">
        <f>1234.2/(30*1000000)</f>
        <v>4.114E-05</v>
      </c>
      <c r="F150" s="5">
        <f>1233/(30*1000000)</f>
        <v>4.11E-05</v>
      </c>
      <c r="G150" s="6">
        <v>37657</v>
      </c>
      <c r="H150" s="6">
        <v>38043</v>
      </c>
    </row>
    <row r="151" spans="1:8" ht="11.25">
      <c r="A151" s="3">
        <f t="shared" si="2"/>
        <v>149</v>
      </c>
      <c r="B151" s="4" t="s">
        <v>167</v>
      </c>
      <c r="C151" s="3">
        <v>7705509424</v>
      </c>
      <c r="D151" s="5">
        <f>5096065726.57/(30*1000000)</f>
        <v>169.8688575523333</v>
      </c>
      <c r="E151" s="5">
        <f>3269274990.03/(30*1000000)</f>
        <v>108.97583300100001</v>
      </c>
      <c r="F151" s="5">
        <f>13106/(30*1000000)</f>
        <v>0.00043686666666666664</v>
      </c>
      <c r="G151" s="6">
        <v>37944</v>
      </c>
      <c r="H151" s="6">
        <v>38352</v>
      </c>
    </row>
    <row r="152" spans="1:8" ht="11.25">
      <c r="A152" s="3">
        <f t="shared" si="2"/>
        <v>150</v>
      </c>
      <c r="B152" s="4" t="s">
        <v>250</v>
      </c>
      <c r="C152" s="3">
        <v>7703503770</v>
      </c>
      <c r="D152" s="5">
        <f>5044858276.29/(30*1000000)</f>
        <v>168.161942543</v>
      </c>
      <c r="E152" s="5">
        <f>965872171.96/(30*1000000)</f>
        <v>32.195739065333335</v>
      </c>
      <c r="F152" s="5">
        <f>1929/(30*1000000)</f>
        <v>6.43E-05</v>
      </c>
      <c r="G152" s="6">
        <v>38016</v>
      </c>
      <c r="H152" s="6">
        <v>38336</v>
      </c>
    </row>
    <row r="153" spans="1:8" ht="22.5">
      <c r="A153" s="3">
        <f t="shared" si="2"/>
        <v>151</v>
      </c>
      <c r="B153" s="4" t="s">
        <v>645</v>
      </c>
      <c r="C153" s="3">
        <v>7733145024</v>
      </c>
      <c r="D153" s="5">
        <f>5041916797.4/(30*1000000)</f>
        <v>168.06389324666665</v>
      </c>
      <c r="E153" s="5">
        <f>947013125.37/(30*1000000)</f>
        <v>31.567104179</v>
      </c>
      <c r="F153" s="5">
        <f>2299216/(30*1000000)</f>
        <v>0.07664053333333333</v>
      </c>
      <c r="G153" s="6">
        <v>37819</v>
      </c>
      <c r="H153" s="6">
        <v>38168</v>
      </c>
    </row>
    <row r="154" spans="1:8" ht="11.25">
      <c r="A154" s="3">
        <f t="shared" si="2"/>
        <v>152</v>
      </c>
      <c r="B154" s="4" t="s">
        <v>606</v>
      </c>
      <c r="C154" s="3">
        <v>7717129064</v>
      </c>
      <c r="D154" s="5">
        <f>4997158350.79/(30*1000000)</f>
        <v>166.57194502633334</v>
      </c>
      <c r="E154" s="5">
        <f>206137372.34/(30*1000000)</f>
        <v>6.871245744666667</v>
      </c>
      <c r="F154" s="5">
        <f>66590/(30*1000000)</f>
        <v>0.0022196666666666667</v>
      </c>
      <c r="G154" s="6">
        <v>37625</v>
      </c>
      <c r="H154" s="6">
        <v>37928</v>
      </c>
    </row>
    <row r="155" spans="1:8" ht="11.25">
      <c r="A155" s="3">
        <f t="shared" si="2"/>
        <v>153</v>
      </c>
      <c r="B155" s="4" t="s">
        <v>1310</v>
      </c>
      <c r="C155" s="3">
        <v>7715396145</v>
      </c>
      <c r="D155" s="5">
        <f>4987838684.66/(30*1000000)</f>
        <v>166.26128948866665</v>
      </c>
      <c r="E155" s="5">
        <f>4855348156.61/(30*1000000)</f>
        <v>161.84493855366665</v>
      </c>
      <c r="F155" s="5">
        <f>16153/(30*1000000)</f>
        <v>0.0005384333333333333</v>
      </c>
      <c r="G155" s="6">
        <v>38064</v>
      </c>
      <c r="H155" s="6">
        <v>38352</v>
      </c>
    </row>
    <row r="156" spans="1:8" ht="22.5">
      <c r="A156" s="3">
        <f t="shared" si="2"/>
        <v>154</v>
      </c>
      <c r="B156" s="4" t="s">
        <v>576</v>
      </c>
      <c r="C156" s="3">
        <v>7715341040</v>
      </c>
      <c r="D156" s="5">
        <f>4945414893/(30*1000000)</f>
        <v>164.8471631</v>
      </c>
      <c r="E156" s="5">
        <f>144886021.69/(30*1000000)</f>
        <v>4.829534056333333</v>
      </c>
      <c r="F156" s="5">
        <f>5303/(30*1000000)</f>
        <v>0.00017676666666666666</v>
      </c>
      <c r="G156" s="6">
        <v>37635</v>
      </c>
      <c r="H156" s="6">
        <v>38009</v>
      </c>
    </row>
    <row r="157" spans="1:8" ht="22.5">
      <c r="A157" s="3">
        <f t="shared" si="2"/>
        <v>155</v>
      </c>
      <c r="B157" s="4" t="s">
        <v>179</v>
      </c>
      <c r="C157" s="3">
        <v>7709400347</v>
      </c>
      <c r="D157" s="5">
        <f>4909586336.46/(30*1000000)</f>
        <v>163.652877882</v>
      </c>
      <c r="E157" s="5">
        <f>4294383820.45/(30*1000000)</f>
        <v>143.14612734833332</v>
      </c>
      <c r="F157" s="5">
        <f>180/(30*1000000)</f>
        <v>6E-06</v>
      </c>
      <c r="G157" s="6">
        <v>37804</v>
      </c>
      <c r="H157" s="6">
        <v>38021</v>
      </c>
    </row>
    <row r="158" spans="1:8" ht="11.25">
      <c r="A158" s="3">
        <f t="shared" si="2"/>
        <v>156</v>
      </c>
      <c r="B158" s="4" t="s">
        <v>1349</v>
      </c>
      <c r="C158" s="3">
        <v>7715371599</v>
      </c>
      <c r="D158" s="5">
        <f>4889335103.11/(30*1000000)</f>
        <v>162.9778367703333</v>
      </c>
      <c r="E158" s="5">
        <f>4659540512.54/(30*1000000)</f>
        <v>155.31801708466668</v>
      </c>
      <c r="F158" s="5">
        <f>0/(30*1000000)</f>
        <v>0</v>
      </c>
      <c r="G158" s="6">
        <v>38030</v>
      </c>
      <c r="H158" s="6">
        <v>38351</v>
      </c>
    </row>
    <row r="159" spans="1:8" ht="11.25">
      <c r="A159" s="3">
        <f t="shared" si="2"/>
        <v>157</v>
      </c>
      <c r="B159" s="4" t="s">
        <v>281</v>
      </c>
      <c r="C159" s="3">
        <v>7710503428</v>
      </c>
      <c r="D159" s="5">
        <f>4869137251.37/(30*1000000)</f>
        <v>162.30457504566667</v>
      </c>
      <c r="E159" s="5">
        <f>66301550.45/(30*1000000)</f>
        <v>2.2100516816666667</v>
      </c>
      <c r="F159" s="5">
        <f>4961/(30*1000000)</f>
        <v>0.00016536666666666666</v>
      </c>
      <c r="G159" s="6">
        <v>37952</v>
      </c>
      <c r="H159" s="6">
        <v>38345</v>
      </c>
    </row>
    <row r="160" spans="1:8" ht="22.5">
      <c r="A160" s="3">
        <f t="shared" si="2"/>
        <v>158</v>
      </c>
      <c r="B160" s="4" t="s">
        <v>1345</v>
      </c>
      <c r="C160" s="3">
        <v>7715359062</v>
      </c>
      <c r="D160" s="5">
        <f>4818746697.35/(30*1000000)</f>
        <v>160.62488991166668</v>
      </c>
      <c r="E160" s="5">
        <f>3631539507.79/(30*1000000)</f>
        <v>121.05131692633333</v>
      </c>
      <c r="F160" s="5">
        <f>15582/(30*1000000)</f>
        <v>0.0005194</v>
      </c>
      <c r="G160" s="6">
        <v>37897</v>
      </c>
      <c r="H160" s="6">
        <v>38222</v>
      </c>
    </row>
    <row r="161" spans="1:8" ht="11.25">
      <c r="A161" s="3">
        <f t="shared" si="2"/>
        <v>159</v>
      </c>
      <c r="B161" s="4" t="s">
        <v>585</v>
      </c>
      <c r="C161" s="3">
        <v>7719283625</v>
      </c>
      <c r="D161" s="5">
        <f>4805488813.82/(30*1000000)</f>
        <v>160.18296046066666</v>
      </c>
      <c r="E161" s="5">
        <f>2292569853.78/(30*1000000)</f>
        <v>76.41899512600001</v>
      </c>
      <c r="F161" s="5">
        <f>873667/(30*1000000)</f>
        <v>0.029122233333333334</v>
      </c>
      <c r="G161" s="6">
        <v>38065</v>
      </c>
      <c r="H161" s="6">
        <v>38335</v>
      </c>
    </row>
    <row r="162" spans="1:8" ht="11.25">
      <c r="A162" s="3">
        <f t="shared" si="2"/>
        <v>160</v>
      </c>
      <c r="B162" s="4" t="s">
        <v>401</v>
      </c>
      <c r="C162" s="3">
        <v>7708227072</v>
      </c>
      <c r="D162" s="5">
        <f>4763703449.6/(30*1000000)</f>
        <v>158.79011498666668</v>
      </c>
      <c r="E162" s="5">
        <f>106981441.4/(30*1000000)</f>
        <v>3.566048046666667</v>
      </c>
      <c r="F162" s="5">
        <f>3240/(30*1000000)</f>
        <v>0.000108</v>
      </c>
      <c r="G162" s="6">
        <v>37959</v>
      </c>
      <c r="H162" s="6">
        <v>38345</v>
      </c>
    </row>
    <row r="163" spans="1:8" ht="11.25">
      <c r="A163" s="3">
        <f t="shared" si="2"/>
        <v>161</v>
      </c>
      <c r="B163" s="4" t="s">
        <v>679</v>
      </c>
      <c r="C163" s="3">
        <v>7715320026</v>
      </c>
      <c r="D163" s="5">
        <f>4717923356.88/(30*1000000)</f>
        <v>157.264111896</v>
      </c>
      <c r="E163" s="5">
        <f>749141947.07/(30*1000000)</f>
        <v>24.97139823566667</v>
      </c>
      <c r="F163" s="5">
        <f>256669/(30*1000000)</f>
        <v>0.008555633333333333</v>
      </c>
      <c r="G163" s="6">
        <v>37625</v>
      </c>
      <c r="H163" s="6">
        <v>38198</v>
      </c>
    </row>
    <row r="164" spans="1:8" ht="11.25">
      <c r="A164" s="3">
        <f t="shared" si="2"/>
        <v>162</v>
      </c>
      <c r="B164" s="4" t="s">
        <v>1291</v>
      </c>
      <c r="C164" s="3">
        <v>8001041766</v>
      </c>
      <c r="D164" s="5">
        <f>4712932424.18/(30*1000000)</f>
        <v>157.09774747266667</v>
      </c>
      <c r="E164" s="5">
        <f>4364950191.72/(30*1000000)</f>
        <v>145.498339724</v>
      </c>
      <c r="F164" s="5">
        <f>11681/(30*1000000)</f>
        <v>0.0003893666666666667</v>
      </c>
      <c r="G164" s="6">
        <v>37655</v>
      </c>
      <c r="H164" s="6">
        <v>38044</v>
      </c>
    </row>
    <row r="165" spans="1:8" ht="22.5">
      <c r="A165" s="3">
        <f t="shared" si="2"/>
        <v>163</v>
      </c>
      <c r="B165" s="4" t="s">
        <v>386</v>
      </c>
      <c r="C165" s="3">
        <v>7707142242</v>
      </c>
      <c r="D165" s="5">
        <f>4697988522.19/(30*1000000)</f>
        <v>156.59961740633332</v>
      </c>
      <c r="E165" s="5">
        <f>355152071.12/(30*1000000)</f>
        <v>11.838402370666667</v>
      </c>
      <c r="F165" s="5">
        <f>3462732/(30*1000000)</f>
        <v>0.1154244</v>
      </c>
      <c r="G165" s="6">
        <v>37630</v>
      </c>
      <c r="H165" s="6">
        <v>38352</v>
      </c>
    </row>
    <row r="166" spans="1:8" ht="11.25">
      <c r="A166" s="3">
        <f t="shared" si="2"/>
        <v>164</v>
      </c>
      <c r="B166" s="4" t="s">
        <v>551</v>
      </c>
      <c r="C166" s="3">
        <v>7714531680</v>
      </c>
      <c r="D166" s="5">
        <f>4669124023/(30*1000000)</f>
        <v>155.63746743333334</v>
      </c>
      <c r="E166" s="5">
        <f>21395042/(30*1000000)</f>
        <v>0.7131680666666667</v>
      </c>
      <c r="F166" s="5">
        <f>392/(30*1000000)</f>
        <v>1.3066666666666666E-05</v>
      </c>
      <c r="G166" s="6">
        <v>38076</v>
      </c>
      <c r="H166" s="6">
        <v>38352</v>
      </c>
    </row>
    <row r="167" spans="1:8" ht="11.25">
      <c r="A167" s="3">
        <f t="shared" si="2"/>
        <v>165</v>
      </c>
      <c r="B167" s="4" t="s">
        <v>1314</v>
      </c>
      <c r="C167" s="3">
        <v>7718173549</v>
      </c>
      <c r="D167" s="5">
        <f>4663059912.45/(30*1000000)</f>
        <v>155.43533041499998</v>
      </c>
      <c r="E167" s="5">
        <f>3932839813.56/(30*1000000)</f>
        <v>131.094660452</v>
      </c>
      <c r="F167" s="5">
        <f>585941/(30*1000000)</f>
        <v>0.019531366666666668</v>
      </c>
      <c r="G167" s="6">
        <v>37625</v>
      </c>
      <c r="H167" s="6">
        <v>38351</v>
      </c>
    </row>
    <row r="168" spans="1:8" ht="11.25">
      <c r="A168" s="3">
        <f t="shared" si="2"/>
        <v>166</v>
      </c>
      <c r="B168" s="4" t="s">
        <v>399</v>
      </c>
      <c r="C168" s="3">
        <v>7708220951</v>
      </c>
      <c r="D168" s="5">
        <f>4643640621.6/(30*1000000)</f>
        <v>154.78802072000002</v>
      </c>
      <c r="E168" s="5">
        <f>23500.8/(30*1000000)</f>
        <v>0.00078336</v>
      </c>
      <c r="F168" s="5">
        <f>15501/(30*1000000)</f>
        <v>0.0005167</v>
      </c>
      <c r="G168" s="6">
        <v>37782</v>
      </c>
      <c r="H168" s="6">
        <v>38042</v>
      </c>
    </row>
    <row r="169" spans="1:8" ht="11.25">
      <c r="A169" s="3">
        <f t="shared" si="2"/>
        <v>167</v>
      </c>
      <c r="B169" s="4" t="s">
        <v>586</v>
      </c>
      <c r="C169" s="3">
        <v>7720278820</v>
      </c>
      <c r="D169" s="5">
        <f>4634482814.84/(30*1000000)</f>
        <v>154.48276049466668</v>
      </c>
      <c r="E169" s="5">
        <f>1963509550.54/(30*1000000)</f>
        <v>65.45031835133334</v>
      </c>
      <c r="F169" s="5">
        <f>200747/(30*1000000)</f>
        <v>0.006691566666666667</v>
      </c>
      <c r="G169" s="6">
        <v>38126</v>
      </c>
      <c r="H169" s="6">
        <v>38306</v>
      </c>
    </row>
    <row r="170" spans="1:8" ht="11.25">
      <c r="A170" s="3">
        <f t="shared" si="2"/>
        <v>168</v>
      </c>
      <c r="B170" s="4" t="s">
        <v>381</v>
      </c>
      <c r="C170" s="3">
        <v>7705444270</v>
      </c>
      <c r="D170" s="5">
        <f>4631216112.06/(30*1000000)</f>
        <v>154.37387040200002</v>
      </c>
      <c r="E170" s="5">
        <f>1318806112.45/(30*1000000)</f>
        <v>43.960203748333335</v>
      </c>
      <c r="F170" s="5">
        <f>950/(30*1000000)</f>
        <v>3.1666666666666666E-05</v>
      </c>
      <c r="G170" s="6">
        <v>37629</v>
      </c>
      <c r="H170" s="6">
        <v>38349</v>
      </c>
    </row>
    <row r="171" spans="1:8" ht="11.25">
      <c r="A171" s="3">
        <f t="shared" si="2"/>
        <v>169</v>
      </c>
      <c r="B171" s="4" t="s">
        <v>664</v>
      </c>
      <c r="C171" s="3">
        <v>7704266730</v>
      </c>
      <c r="D171" s="5">
        <f>4622534090.85/(30*1000000)</f>
        <v>154.08446969500002</v>
      </c>
      <c r="E171" s="5">
        <f>2122584668.27/(30*1000000)</f>
        <v>70.75282227566666</v>
      </c>
      <c r="F171" s="5">
        <f>0/(30*1000000)</f>
        <v>0</v>
      </c>
      <c r="G171" s="6">
        <v>38019</v>
      </c>
      <c r="H171" s="6">
        <v>38342</v>
      </c>
    </row>
    <row r="172" spans="1:8" ht="11.25">
      <c r="A172" s="3">
        <f t="shared" si="2"/>
        <v>170</v>
      </c>
      <c r="B172" s="4" t="s">
        <v>201</v>
      </c>
      <c r="C172" s="3">
        <v>814152549</v>
      </c>
      <c r="D172" s="5">
        <f>4616043937.58/(30*1000000)</f>
        <v>153.86813125266667</v>
      </c>
      <c r="E172" s="5">
        <f>1780950295.77/(30*1000000)</f>
        <v>59.365009859</v>
      </c>
      <c r="F172" s="5">
        <f>7368/(30*1000000)</f>
        <v>0.0002456</v>
      </c>
      <c r="G172" s="6">
        <v>37663</v>
      </c>
      <c r="H172" s="6">
        <v>38285</v>
      </c>
    </row>
    <row r="173" spans="1:8" ht="11.25">
      <c r="A173" s="3">
        <f t="shared" si="2"/>
        <v>171</v>
      </c>
      <c r="B173" s="4" t="s">
        <v>382</v>
      </c>
      <c r="C173" s="3">
        <v>7705447898</v>
      </c>
      <c r="D173" s="5">
        <f>4601564610.08/(30*1000000)</f>
        <v>153.38548700266665</v>
      </c>
      <c r="E173" s="5">
        <f>312630000/(30*1000000)</f>
        <v>10.421</v>
      </c>
      <c r="F173" s="5">
        <f>0/(30*1000000)</f>
        <v>0</v>
      </c>
      <c r="G173" s="6">
        <v>37704</v>
      </c>
      <c r="H173" s="6">
        <v>37848</v>
      </c>
    </row>
    <row r="174" spans="1:8" ht="11.25">
      <c r="A174" s="3">
        <f t="shared" si="2"/>
        <v>172</v>
      </c>
      <c r="B174" s="4" t="s">
        <v>158</v>
      </c>
      <c r="C174" s="3">
        <v>7703325238</v>
      </c>
      <c r="D174" s="5">
        <f>4593008191.88/(30*1000000)</f>
        <v>153.10027306266667</v>
      </c>
      <c r="E174" s="5">
        <f>3656812389.99/(30*1000000)</f>
        <v>121.893746333</v>
      </c>
      <c r="F174" s="5">
        <f>5852/(30*1000000)</f>
        <v>0.00019506666666666667</v>
      </c>
      <c r="G174" s="6">
        <v>37625</v>
      </c>
      <c r="H174" s="6">
        <v>37938</v>
      </c>
    </row>
    <row r="175" spans="1:8" ht="11.25">
      <c r="A175" s="3">
        <f t="shared" si="2"/>
        <v>173</v>
      </c>
      <c r="B175" s="4" t="s">
        <v>398</v>
      </c>
      <c r="C175" s="3">
        <v>7708217814</v>
      </c>
      <c r="D175" s="5">
        <f>4523176814.69/(30*1000000)</f>
        <v>150.77256048966666</v>
      </c>
      <c r="E175" s="5">
        <f>24000/(30*1000000)</f>
        <v>0.0008</v>
      </c>
      <c r="F175" s="5">
        <f>24000/(30*1000000)</f>
        <v>0.0008</v>
      </c>
      <c r="G175" s="6">
        <v>37824</v>
      </c>
      <c r="H175" s="6">
        <v>38093</v>
      </c>
    </row>
    <row r="176" spans="1:8" ht="22.5">
      <c r="A176" s="3">
        <f t="shared" si="2"/>
        <v>174</v>
      </c>
      <c r="B176" s="4" t="s">
        <v>657</v>
      </c>
      <c r="C176" s="3">
        <v>1651024807</v>
      </c>
      <c r="D176" s="5">
        <f>4507430730.59/(30*1000000)</f>
        <v>150.24769101966666</v>
      </c>
      <c r="E176" s="5">
        <f>19685304.72/(30*1000000)</f>
        <v>0.656176824</v>
      </c>
      <c r="F176" s="5">
        <f>2300000/(30*1000000)</f>
        <v>0.07666666666666666</v>
      </c>
      <c r="G176" s="6">
        <v>37631</v>
      </c>
      <c r="H176" s="6">
        <v>38351</v>
      </c>
    </row>
    <row r="177" spans="1:8" ht="11.25">
      <c r="A177" s="3">
        <f t="shared" si="2"/>
        <v>175</v>
      </c>
      <c r="B177" s="4" t="s">
        <v>267</v>
      </c>
      <c r="C177" s="3">
        <v>7701500597</v>
      </c>
      <c r="D177" s="5">
        <f>4489173949.06/(30*1000000)</f>
        <v>149.63913163533334</v>
      </c>
      <c r="E177" s="5">
        <f>402978876.26/(30*1000000)</f>
        <v>13.432629208666667</v>
      </c>
      <c r="F177" s="5">
        <f>532864/(30*1000000)</f>
        <v>0.017762133333333333</v>
      </c>
      <c r="G177" s="6">
        <v>37949</v>
      </c>
      <c r="H177" s="6">
        <v>38352</v>
      </c>
    </row>
    <row r="178" spans="1:8" ht="11.25">
      <c r="A178" s="3">
        <f t="shared" si="2"/>
        <v>176</v>
      </c>
      <c r="B178" s="4" t="s">
        <v>655</v>
      </c>
      <c r="C178" s="3">
        <v>7736223400</v>
      </c>
      <c r="D178" s="5">
        <f>4446371960.87/(30*1000000)</f>
        <v>148.21239869566665</v>
      </c>
      <c r="E178" s="5">
        <f>1181060750.33/(30*1000000)</f>
        <v>39.36869167766666</v>
      </c>
      <c r="F178" s="5">
        <f>1078677/(30*1000000)</f>
        <v>0.0359559</v>
      </c>
      <c r="G178" s="6">
        <v>37625</v>
      </c>
      <c r="H178" s="6">
        <v>38341</v>
      </c>
    </row>
    <row r="179" spans="1:8" ht="11.25">
      <c r="A179" s="3">
        <f t="shared" si="2"/>
        <v>177</v>
      </c>
      <c r="B179" s="4" t="s">
        <v>660</v>
      </c>
      <c r="C179" s="3">
        <v>7838008650</v>
      </c>
      <c r="D179" s="5">
        <f>4436573912.92/(30*1000000)</f>
        <v>147.88579709733332</v>
      </c>
      <c r="E179" s="5">
        <f>311671812.28/(30*1000000)</f>
        <v>10.389060409333332</v>
      </c>
      <c r="F179" s="5">
        <f>25/(30*1000000)</f>
        <v>8.333333333333333E-07</v>
      </c>
      <c r="G179" s="6">
        <v>37977</v>
      </c>
      <c r="H179" s="6">
        <v>38351</v>
      </c>
    </row>
    <row r="180" spans="1:8" ht="11.25">
      <c r="A180" s="3">
        <f t="shared" si="2"/>
        <v>178</v>
      </c>
      <c r="B180" s="4" t="s">
        <v>609</v>
      </c>
      <c r="C180" s="3">
        <v>7718199064</v>
      </c>
      <c r="D180" s="5">
        <f>4431990888.8/(30*1000000)</f>
        <v>147.73302962666668</v>
      </c>
      <c r="E180" s="5">
        <f>6721579.26/(30*1000000)</f>
        <v>0.224052642</v>
      </c>
      <c r="F180" s="5">
        <f>646307/(30*1000000)</f>
        <v>0.021543566666666666</v>
      </c>
      <c r="G180" s="6">
        <v>37956</v>
      </c>
      <c r="H180" s="6">
        <v>38351</v>
      </c>
    </row>
    <row r="181" spans="1:8" ht="11.25">
      <c r="A181" s="3">
        <f t="shared" si="2"/>
        <v>179</v>
      </c>
      <c r="B181" s="4" t="s">
        <v>567</v>
      </c>
      <c r="C181" s="3">
        <v>7728245552</v>
      </c>
      <c r="D181" s="5">
        <f>4405845359.68/(30*1000000)</f>
        <v>146.86151198933334</v>
      </c>
      <c r="E181" s="5">
        <f>660011288.63/(30*1000000)</f>
        <v>22.000376287666665</v>
      </c>
      <c r="F181" s="5">
        <f>423111/(30*1000000)</f>
        <v>0.0141037</v>
      </c>
      <c r="G181" s="6">
        <v>37626</v>
      </c>
      <c r="H181" s="6">
        <v>38350</v>
      </c>
    </row>
    <row r="182" spans="1:8" ht="11.25">
      <c r="A182" s="3">
        <f t="shared" si="2"/>
        <v>180</v>
      </c>
      <c r="B182" s="4" t="s">
        <v>217</v>
      </c>
      <c r="C182" s="3">
        <v>7724267033</v>
      </c>
      <c r="D182" s="5">
        <f>4403729788.65/(30*1000000)</f>
        <v>146.79099295499998</v>
      </c>
      <c r="E182" s="5">
        <f>4347927155.94/(30*1000000)</f>
        <v>144.93090519799998</v>
      </c>
      <c r="F182" s="5">
        <f>1766/(30*1000000)</f>
        <v>5.886666666666667E-05</v>
      </c>
      <c r="G182" s="6">
        <v>37875</v>
      </c>
      <c r="H182" s="6">
        <v>38351</v>
      </c>
    </row>
    <row r="183" spans="1:8" ht="11.25">
      <c r="A183" s="3">
        <f t="shared" si="2"/>
        <v>181</v>
      </c>
      <c r="B183" s="4" t="s">
        <v>582</v>
      </c>
      <c r="C183" s="3">
        <v>7715510394</v>
      </c>
      <c r="D183" s="5">
        <f>4396007817.52/(30*1000000)</f>
        <v>146.53359391733335</v>
      </c>
      <c r="E183" s="5">
        <f>1580805148.54/(30*1000000)</f>
        <v>52.69350495133333</v>
      </c>
      <c r="F183" s="5">
        <f>80186/(30*1000000)</f>
        <v>0.0026728666666666666</v>
      </c>
      <c r="G183" s="6">
        <v>38147</v>
      </c>
      <c r="H183" s="6">
        <v>38350</v>
      </c>
    </row>
    <row r="184" spans="1:8" ht="11.25">
      <c r="A184" s="3">
        <f t="shared" si="2"/>
        <v>182</v>
      </c>
      <c r="B184" s="4" t="s">
        <v>412</v>
      </c>
      <c r="C184" s="3">
        <v>7713523253</v>
      </c>
      <c r="D184" s="5">
        <f>4384644918.11/(30*1000000)</f>
        <v>146.15483060366665</v>
      </c>
      <c r="E184" s="5">
        <f>95795111.48/(30*1000000)</f>
        <v>3.1931703826666666</v>
      </c>
      <c r="F184" s="5">
        <f>222076/(30*1000000)</f>
        <v>0.007402533333333333</v>
      </c>
      <c r="G184" s="6">
        <v>38127</v>
      </c>
      <c r="H184" s="6">
        <v>38344</v>
      </c>
    </row>
    <row r="185" spans="1:8" ht="11.25">
      <c r="A185" s="3">
        <f t="shared" si="2"/>
        <v>183</v>
      </c>
      <c r="B185" s="4" t="s">
        <v>650</v>
      </c>
      <c r="C185" s="3">
        <v>7725217885</v>
      </c>
      <c r="D185" s="5">
        <f>4379352945.12/(30*1000000)</f>
        <v>145.97843150399999</v>
      </c>
      <c r="E185" s="5">
        <f>297893951.45/(30*1000000)</f>
        <v>9.929798381666666</v>
      </c>
      <c r="F185" s="5">
        <f>1478312/(30*1000000)</f>
        <v>0.04927706666666667</v>
      </c>
      <c r="G185" s="6">
        <v>37705</v>
      </c>
      <c r="H185" s="6">
        <v>38352</v>
      </c>
    </row>
    <row r="186" spans="1:8" ht="11.25">
      <c r="A186" s="3">
        <f t="shared" si="2"/>
        <v>184</v>
      </c>
      <c r="B186" s="4" t="s">
        <v>190</v>
      </c>
      <c r="C186" s="3">
        <v>5018093703</v>
      </c>
      <c r="D186" s="5">
        <f>4335218984.7/(30*1000000)</f>
        <v>144.50729948999998</v>
      </c>
      <c r="E186" s="5">
        <f>2451454310.29/(30*1000000)</f>
        <v>81.71514367633333</v>
      </c>
      <c r="F186" s="5">
        <f>0/(30*1000000)</f>
        <v>0</v>
      </c>
      <c r="G186" s="6">
        <v>38239</v>
      </c>
      <c r="H186" s="6">
        <v>38323</v>
      </c>
    </row>
    <row r="187" spans="1:8" ht="11.25">
      <c r="A187" s="3">
        <f t="shared" si="2"/>
        <v>185</v>
      </c>
      <c r="B187" s="4" t="s">
        <v>547</v>
      </c>
      <c r="C187" s="3">
        <v>7709422252</v>
      </c>
      <c r="D187" s="5">
        <f>4318358640.95/(30*1000000)</f>
        <v>143.94528803166665</v>
      </c>
      <c r="E187" s="5">
        <f>43003/(30*1000000)</f>
        <v>0.0014334333333333334</v>
      </c>
      <c r="F187" s="5">
        <f>33003/(30*1000000)</f>
        <v>0.0011001</v>
      </c>
      <c r="G187" s="6">
        <v>37900</v>
      </c>
      <c r="H187" s="6">
        <v>38338</v>
      </c>
    </row>
    <row r="188" spans="1:8" ht="11.25">
      <c r="A188" s="3">
        <f t="shared" si="2"/>
        <v>186</v>
      </c>
      <c r="B188" s="4" t="s">
        <v>1359</v>
      </c>
      <c r="C188" s="3">
        <v>7709423136</v>
      </c>
      <c r="D188" s="5">
        <f>4271042539.7/(30*1000000)</f>
        <v>142.36808465666667</v>
      </c>
      <c r="E188" s="5">
        <f>3582167028.89/(30*1000000)</f>
        <v>119.40556762966666</v>
      </c>
      <c r="F188" s="5">
        <f>0/(30*1000000)</f>
        <v>0</v>
      </c>
      <c r="G188" s="6">
        <v>37903</v>
      </c>
      <c r="H188" s="6">
        <v>38317</v>
      </c>
    </row>
    <row r="189" spans="1:8" ht="11.25">
      <c r="A189" s="3">
        <f t="shared" si="2"/>
        <v>187</v>
      </c>
      <c r="B189" s="4" t="s">
        <v>1352</v>
      </c>
      <c r="C189" s="3">
        <v>7707505249</v>
      </c>
      <c r="D189" s="5">
        <f>4269596788.37/(30*1000000)</f>
        <v>142.31989294566665</v>
      </c>
      <c r="E189" s="5">
        <f>4006101135.68/(30*1000000)</f>
        <v>133.53670452266667</v>
      </c>
      <c r="F189" s="5">
        <f>28525/(30*1000000)</f>
        <v>0.0009508333333333334</v>
      </c>
      <c r="G189" s="6">
        <v>38078</v>
      </c>
      <c r="H189" s="6">
        <v>38351</v>
      </c>
    </row>
    <row r="190" spans="1:8" ht="11.25">
      <c r="A190" s="3">
        <f t="shared" si="2"/>
        <v>188</v>
      </c>
      <c r="B190" s="4" t="s">
        <v>638</v>
      </c>
      <c r="C190" s="3">
        <v>7736234106</v>
      </c>
      <c r="D190" s="5">
        <f>4265449223.46/(30*1000000)</f>
        <v>142.181640782</v>
      </c>
      <c r="E190" s="5">
        <f>222456228.65/(30*1000000)</f>
        <v>7.415207621666667</v>
      </c>
      <c r="F190" s="5">
        <f>2609/(30*1000000)</f>
        <v>8.696666666666666E-05</v>
      </c>
      <c r="G190" s="6">
        <v>37970</v>
      </c>
      <c r="H190" s="6">
        <v>38348</v>
      </c>
    </row>
    <row r="191" spans="1:8" ht="11.25">
      <c r="A191" s="3">
        <f t="shared" si="2"/>
        <v>189</v>
      </c>
      <c r="B191" s="4" t="s">
        <v>265</v>
      </c>
      <c r="C191" s="3">
        <v>7701326564</v>
      </c>
      <c r="D191" s="5">
        <f>4263355329.5/(30*1000000)</f>
        <v>142.11184431666666</v>
      </c>
      <c r="E191" s="5">
        <f>227317368.27/(30*1000000)</f>
        <v>7.577245609</v>
      </c>
      <c r="F191" s="5">
        <f>306583/(30*1000000)</f>
        <v>0.010219433333333333</v>
      </c>
      <c r="G191" s="6">
        <v>38023</v>
      </c>
      <c r="H191" s="6">
        <v>38279</v>
      </c>
    </row>
    <row r="192" spans="1:8" ht="11.25">
      <c r="A192" s="3">
        <f t="shared" si="2"/>
        <v>190</v>
      </c>
      <c r="B192" s="4" t="s">
        <v>176</v>
      </c>
      <c r="C192" s="3">
        <v>7709352630</v>
      </c>
      <c r="D192" s="5">
        <f>4215678025.01/(30*1000000)</f>
        <v>140.52260083366667</v>
      </c>
      <c r="E192" s="5">
        <f>2440902437.15/(30*1000000)</f>
        <v>81.36341457166667</v>
      </c>
      <c r="F192" s="5">
        <f>1077259/(30*1000000)</f>
        <v>0.035908633333333335</v>
      </c>
      <c r="G192" s="6">
        <v>37625</v>
      </c>
      <c r="H192" s="6">
        <v>38351</v>
      </c>
    </row>
    <row r="193" spans="1:8" ht="11.25">
      <c r="A193" s="3">
        <f t="shared" si="2"/>
        <v>191</v>
      </c>
      <c r="B193" s="4" t="s">
        <v>654</v>
      </c>
      <c r="C193" s="3">
        <v>7734504420</v>
      </c>
      <c r="D193" s="5">
        <f>4209880170.24/(30*1000000)</f>
        <v>140.329339008</v>
      </c>
      <c r="E193" s="5">
        <f>1480634597.38/(30*1000000)</f>
        <v>49.35448657933334</v>
      </c>
      <c r="F193" s="5">
        <f>13660/(30*1000000)</f>
        <v>0.00045533333333333336</v>
      </c>
      <c r="G193" s="6">
        <v>38016</v>
      </c>
      <c r="H193" s="6">
        <v>38352</v>
      </c>
    </row>
    <row r="194" spans="1:8" ht="11.25">
      <c r="A194" s="3">
        <f t="shared" si="2"/>
        <v>192</v>
      </c>
      <c r="B194" s="4" t="s">
        <v>296</v>
      </c>
      <c r="C194" s="3">
        <v>7705488100</v>
      </c>
      <c r="D194" s="5">
        <f>4193867883.49/(30*1000000)</f>
        <v>139.79559611633331</v>
      </c>
      <c r="E194" s="5">
        <f>24810742.73/(30*1000000)</f>
        <v>0.8270247576666667</v>
      </c>
      <c r="F194" s="5">
        <f>3799/(30*1000000)</f>
        <v>0.00012663333333333334</v>
      </c>
      <c r="G194" s="6">
        <v>37816</v>
      </c>
      <c r="H194" s="6">
        <v>38257</v>
      </c>
    </row>
    <row r="195" spans="1:8" ht="11.25">
      <c r="A195" s="3">
        <f t="shared" si="2"/>
        <v>193</v>
      </c>
      <c r="B195" s="4" t="s">
        <v>1188</v>
      </c>
      <c r="C195" s="3">
        <v>5006000180</v>
      </c>
      <c r="D195" s="5">
        <f>4168820500/(30*1000000)</f>
        <v>138.96068333333332</v>
      </c>
      <c r="E195" s="5">
        <f>2036.16/(30*1000000)</f>
        <v>6.7872E-05</v>
      </c>
      <c r="F195" s="5">
        <f>448/(30*1000000)</f>
        <v>1.4933333333333333E-05</v>
      </c>
      <c r="G195" s="6">
        <v>37644</v>
      </c>
      <c r="H195" s="6">
        <v>38175</v>
      </c>
    </row>
    <row r="196" spans="1:8" ht="22.5">
      <c r="A196" s="3">
        <f t="shared" si="2"/>
        <v>194</v>
      </c>
      <c r="B196" s="4" t="s">
        <v>1340</v>
      </c>
      <c r="C196" s="3">
        <v>7714314686</v>
      </c>
      <c r="D196" s="5">
        <f>4142156374.74/(30*1000000)</f>
        <v>138.071879158</v>
      </c>
      <c r="E196" s="5">
        <f>2929944152.4/(30*1000000)</f>
        <v>97.66480508000001</v>
      </c>
      <c r="F196" s="5">
        <f>3651/(30*1000000)</f>
        <v>0.0001217</v>
      </c>
      <c r="G196" s="6">
        <v>37958</v>
      </c>
      <c r="H196" s="6">
        <v>38350</v>
      </c>
    </row>
    <row r="197" spans="1:8" ht="11.25">
      <c r="A197" s="3">
        <f aca="true" t="shared" si="3" ref="A197:A260">1+A196</f>
        <v>195</v>
      </c>
      <c r="B197" s="4" t="s">
        <v>644</v>
      </c>
      <c r="C197" s="3">
        <v>7733139711</v>
      </c>
      <c r="D197" s="5">
        <f>4099134114.57/(30*1000000)</f>
        <v>136.637803819</v>
      </c>
      <c r="E197" s="5">
        <f>576601332.64/(30*1000000)</f>
        <v>19.220044421333334</v>
      </c>
      <c r="F197" s="5">
        <f>54030/(30*1000000)</f>
        <v>0.001801</v>
      </c>
      <c r="G197" s="6">
        <v>37625</v>
      </c>
      <c r="H197" s="6">
        <v>38159</v>
      </c>
    </row>
    <row r="198" spans="1:8" ht="11.25">
      <c r="A198" s="3">
        <f t="shared" si="3"/>
        <v>196</v>
      </c>
      <c r="B198" s="4" t="s">
        <v>393</v>
      </c>
      <c r="C198" s="3">
        <v>7714236773</v>
      </c>
      <c r="D198" s="5">
        <f>4083235792.74/(30*1000000)</f>
        <v>136.107859758</v>
      </c>
      <c r="E198" s="5">
        <f>226993168.2/(30*1000000)</f>
        <v>7.566438939999999</v>
      </c>
      <c r="F198" s="5">
        <f>2032/(30*1000000)</f>
        <v>6.773333333333333E-05</v>
      </c>
      <c r="G198" s="6">
        <v>37625</v>
      </c>
      <c r="H198" s="6">
        <v>38351</v>
      </c>
    </row>
    <row r="199" spans="1:8" ht="11.25">
      <c r="A199" s="3">
        <f t="shared" si="3"/>
        <v>197</v>
      </c>
      <c r="B199" s="4" t="s">
        <v>548</v>
      </c>
      <c r="C199" s="3">
        <v>7709422661</v>
      </c>
      <c r="D199" s="5">
        <f>4061520511.03/(30*1000000)</f>
        <v>135.38401703433334</v>
      </c>
      <c r="E199" s="5">
        <f>406839775.38/(30*1000000)</f>
        <v>13.561325845999999</v>
      </c>
      <c r="F199" s="5">
        <f>98024/(30*1000000)</f>
        <v>0.003267466666666667</v>
      </c>
      <c r="G199" s="6">
        <v>37984</v>
      </c>
      <c r="H199" s="6">
        <v>38343</v>
      </c>
    </row>
    <row r="200" spans="1:8" ht="11.25">
      <c r="A200" s="3">
        <f t="shared" si="3"/>
        <v>198</v>
      </c>
      <c r="B200" s="4" t="s">
        <v>360</v>
      </c>
      <c r="C200" s="3">
        <v>7706530274</v>
      </c>
      <c r="D200" s="5">
        <f>4055635781.06/(30*1000000)</f>
        <v>135.18785936866666</v>
      </c>
      <c r="E200" s="5">
        <f>609/(30*1000000)</f>
        <v>2.03E-05</v>
      </c>
      <c r="F200" s="5">
        <f>609/(30*1000000)</f>
        <v>2.03E-05</v>
      </c>
      <c r="G200" s="6">
        <v>38198</v>
      </c>
      <c r="H200" s="6">
        <v>38351</v>
      </c>
    </row>
    <row r="201" spans="1:8" ht="11.25">
      <c r="A201" s="3">
        <f t="shared" si="3"/>
        <v>199</v>
      </c>
      <c r="B201" s="4" t="s">
        <v>651</v>
      </c>
      <c r="C201" s="3">
        <v>7726297467</v>
      </c>
      <c r="D201" s="5">
        <f>4049081563.45/(30*1000000)</f>
        <v>134.96938544833333</v>
      </c>
      <c r="E201" s="5">
        <f>893324493.06/(30*1000000)</f>
        <v>29.777483101999998</v>
      </c>
      <c r="F201" s="5">
        <f>1306339/(30*1000000)</f>
        <v>0.04354463333333333</v>
      </c>
      <c r="G201" s="6">
        <v>37625</v>
      </c>
      <c r="H201" s="6">
        <v>38352</v>
      </c>
    </row>
    <row r="202" spans="1:8" ht="11.25">
      <c r="A202" s="3">
        <f t="shared" si="3"/>
        <v>200</v>
      </c>
      <c r="B202" s="4" t="s">
        <v>156</v>
      </c>
      <c r="C202" s="3">
        <v>7703215980</v>
      </c>
      <c r="D202" s="5">
        <f>4011657200.72/(30*1000000)</f>
        <v>133.72190669066666</v>
      </c>
      <c r="E202" s="5">
        <f>3218552503.49/(30*1000000)</f>
        <v>107.28508344966666</v>
      </c>
      <c r="F202" s="5">
        <f>784654/(30*1000000)</f>
        <v>0.026155133333333334</v>
      </c>
      <c r="G202" s="6">
        <v>37625</v>
      </c>
      <c r="H202" s="6">
        <v>38119</v>
      </c>
    </row>
    <row r="203" spans="1:8" ht="11.25">
      <c r="A203" s="3">
        <f t="shared" si="3"/>
        <v>201</v>
      </c>
      <c r="B203" s="4" t="s">
        <v>621</v>
      </c>
      <c r="C203" s="3">
        <v>7727247290</v>
      </c>
      <c r="D203" s="5">
        <f>4009353309.35/(30*1000000)</f>
        <v>133.64511031166666</v>
      </c>
      <c r="E203" s="5">
        <f>51343844.4/(30*1000000)</f>
        <v>1.7114614799999999</v>
      </c>
      <c r="F203" s="5">
        <f>1848/(30*1000000)</f>
        <v>6.16E-05</v>
      </c>
      <c r="G203" s="6">
        <v>37895</v>
      </c>
      <c r="H203" s="6">
        <v>38344</v>
      </c>
    </row>
    <row r="204" spans="1:8" ht="11.25">
      <c r="A204" s="3">
        <f t="shared" si="3"/>
        <v>202</v>
      </c>
      <c r="B204" s="4" t="s">
        <v>202</v>
      </c>
      <c r="C204" s="3">
        <v>814153060</v>
      </c>
      <c r="D204" s="5">
        <f>3967220404.85003/(30*1000000)</f>
        <v>132.24068016166765</v>
      </c>
      <c r="E204" s="5">
        <f>12057900.54/(30*1000000)</f>
        <v>0.40193001799999994</v>
      </c>
      <c r="F204" s="5">
        <f>111618/(30*1000000)</f>
        <v>0.0037206</v>
      </c>
      <c r="G204" s="6">
        <v>37832</v>
      </c>
      <c r="H204" s="6">
        <v>38350</v>
      </c>
    </row>
    <row r="205" spans="1:8" ht="11.25">
      <c r="A205" s="3">
        <f t="shared" si="3"/>
        <v>203</v>
      </c>
      <c r="B205" s="4" t="s">
        <v>1342</v>
      </c>
      <c r="C205" s="3">
        <v>7714519108</v>
      </c>
      <c r="D205" s="5">
        <f>3965826000/(30*1000000)</f>
        <v>132.1942</v>
      </c>
      <c r="E205" s="5">
        <f>3953836338.4/(30*1000000)</f>
        <v>131.79454461333333</v>
      </c>
      <c r="F205" s="5">
        <f>1939/(30*1000000)</f>
        <v>6.463333333333334E-05</v>
      </c>
      <c r="G205" s="6">
        <v>38020</v>
      </c>
      <c r="H205" s="6">
        <v>38351</v>
      </c>
    </row>
    <row r="206" spans="1:8" ht="11.25">
      <c r="A206" s="3">
        <f t="shared" si="3"/>
        <v>204</v>
      </c>
      <c r="B206" s="4" t="s">
        <v>311</v>
      </c>
      <c r="C206" s="3">
        <v>7703337378</v>
      </c>
      <c r="D206" s="5">
        <f>3953188752.41/(30*1000000)</f>
        <v>131.77295841366666</v>
      </c>
      <c r="E206" s="5">
        <f>14112319.64/(30*1000000)</f>
        <v>0.4704106546666667</v>
      </c>
      <c r="F206" s="5">
        <f>14320/(30*1000000)</f>
        <v>0.00047733333333333335</v>
      </c>
      <c r="G206" s="6">
        <v>37793</v>
      </c>
      <c r="H206" s="6">
        <v>38338</v>
      </c>
    </row>
    <row r="207" spans="1:8" ht="11.25">
      <c r="A207" s="3">
        <f t="shared" si="3"/>
        <v>205</v>
      </c>
      <c r="B207" s="4" t="s">
        <v>415</v>
      </c>
      <c r="C207" s="3">
        <v>7721254396</v>
      </c>
      <c r="D207" s="5">
        <f>3952711068.65/(30*1000000)</f>
        <v>131.75703562166666</v>
      </c>
      <c r="E207" s="5">
        <f>22152429/(30*1000000)</f>
        <v>0.7384143</v>
      </c>
      <c r="F207" s="5">
        <f>429/(30*1000000)</f>
        <v>1.43E-05</v>
      </c>
      <c r="G207" s="6">
        <v>37896</v>
      </c>
      <c r="H207" s="6">
        <v>38120</v>
      </c>
    </row>
    <row r="208" spans="1:8" ht="11.25">
      <c r="A208" s="3">
        <f t="shared" si="3"/>
        <v>206</v>
      </c>
      <c r="B208" s="4" t="s">
        <v>1290</v>
      </c>
      <c r="C208" s="3">
        <v>8001041727</v>
      </c>
      <c r="D208" s="5">
        <f>3951092157.19/(30*1000000)</f>
        <v>131.70307190633335</v>
      </c>
      <c r="E208" s="5">
        <f>2856173779.55/(30*1000000)</f>
        <v>95.20579265166667</v>
      </c>
      <c r="F208" s="5">
        <f>9075/(30*1000000)</f>
        <v>0.0003025</v>
      </c>
      <c r="G208" s="6">
        <v>37803</v>
      </c>
      <c r="H208" s="6">
        <v>38043</v>
      </c>
    </row>
    <row r="209" spans="1:8" ht="11.25">
      <c r="A209" s="3">
        <f t="shared" si="3"/>
        <v>207</v>
      </c>
      <c r="B209" s="4" t="s">
        <v>189</v>
      </c>
      <c r="C209" s="3">
        <v>5018093446</v>
      </c>
      <c r="D209" s="5">
        <f>3949933426.65/(30*1000000)</f>
        <v>131.664447555</v>
      </c>
      <c r="E209" s="5">
        <f>2281627430.21/(30*1000000)</f>
        <v>76.05424767366667</v>
      </c>
      <c r="F209" s="5">
        <f>0/(30*1000000)</f>
        <v>0</v>
      </c>
      <c r="G209" s="6">
        <v>38239</v>
      </c>
      <c r="H209" s="6">
        <v>38323</v>
      </c>
    </row>
    <row r="210" spans="1:8" ht="11.25">
      <c r="A210" s="3">
        <f t="shared" si="3"/>
        <v>208</v>
      </c>
      <c r="B210" s="4" t="s">
        <v>615</v>
      </c>
      <c r="C210" s="3">
        <v>7718250722</v>
      </c>
      <c r="D210" s="5">
        <f>3949657453.51/(30*1000000)</f>
        <v>131.65524845033335</v>
      </c>
      <c r="E210" s="5">
        <f>256657120.88/(30*1000000)</f>
        <v>8.555237362666666</v>
      </c>
      <c r="F210" s="5">
        <f>0/(30*1000000)</f>
        <v>0</v>
      </c>
      <c r="G210" s="6">
        <v>37903</v>
      </c>
      <c r="H210" s="6">
        <v>38208</v>
      </c>
    </row>
    <row r="211" spans="1:8" ht="22.5">
      <c r="A211" s="3">
        <f t="shared" si="3"/>
        <v>209</v>
      </c>
      <c r="B211" s="4" t="s">
        <v>406</v>
      </c>
      <c r="C211" s="3">
        <v>7713313016</v>
      </c>
      <c r="D211" s="5">
        <f>3910291809.64/(30*1000000)</f>
        <v>130.34306032133333</v>
      </c>
      <c r="E211" s="5">
        <f>632325128.56/(30*1000000)</f>
        <v>21.077504285333333</v>
      </c>
      <c r="F211" s="5">
        <f>85135/(30*1000000)</f>
        <v>0.0028378333333333333</v>
      </c>
      <c r="G211" s="6">
        <v>37625</v>
      </c>
      <c r="H211" s="6">
        <v>38126</v>
      </c>
    </row>
    <row r="212" spans="1:8" ht="11.25">
      <c r="A212" s="3">
        <f t="shared" si="3"/>
        <v>210</v>
      </c>
      <c r="B212" s="4" t="s">
        <v>372</v>
      </c>
      <c r="C212" s="3">
        <v>7728296959</v>
      </c>
      <c r="D212" s="5">
        <f>3906098819.26/(30*1000000)</f>
        <v>130.20329397533334</v>
      </c>
      <c r="E212" s="5">
        <f>1391259861.83/(30*1000000)</f>
        <v>46.37532872766666</v>
      </c>
      <c r="F212" s="5">
        <f>1252240/(30*1000000)</f>
        <v>0.04174133333333333</v>
      </c>
      <c r="G212" s="6">
        <v>37952</v>
      </c>
      <c r="H212" s="6">
        <v>38317</v>
      </c>
    </row>
    <row r="213" spans="1:8" ht="11.25">
      <c r="A213" s="3">
        <f t="shared" si="3"/>
        <v>211</v>
      </c>
      <c r="B213" s="4" t="s">
        <v>378</v>
      </c>
      <c r="C213" s="3">
        <v>7705431915</v>
      </c>
      <c r="D213" s="5">
        <f>3870182778.45/(30*1000000)</f>
        <v>129.006092615</v>
      </c>
      <c r="E213" s="5">
        <f>70587.73/(30*1000000)</f>
        <v>0.0023529243333333333</v>
      </c>
      <c r="F213" s="5">
        <f>62588/(30*1000000)</f>
        <v>0.0020862666666666666</v>
      </c>
      <c r="G213" s="6">
        <v>37626</v>
      </c>
      <c r="H213" s="6">
        <v>37921</v>
      </c>
    </row>
    <row r="214" spans="1:8" ht="11.25">
      <c r="A214" s="3">
        <f t="shared" si="3"/>
        <v>212</v>
      </c>
      <c r="B214" s="4" t="s">
        <v>369</v>
      </c>
      <c r="C214" s="3">
        <v>7710423081</v>
      </c>
      <c r="D214" s="5">
        <f>3868537735.76/(30*1000000)</f>
        <v>128.95125785866668</v>
      </c>
      <c r="E214" s="5">
        <f>869461.05/(30*1000000)</f>
        <v>0.028982035000000003</v>
      </c>
      <c r="F214" s="5">
        <f>71161/(30*1000000)</f>
        <v>0.0023720333333333335</v>
      </c>
      <c r="G214" s="6">
        <v>37734</v>
      </c>
      <c r="H214" s="6">
        <v>38209</v>
      </c>
    </row>
    <row r="215" spans="1:8" ht="11.25">
      <c r="A215" s="3">
        <f t="shared" si="3"/>
        <v>213</v>
      </c>
      <c r="B215" s="4" t="s">
        <v>215</v>
      </c>
      <c r="C215" s="3">
        <v>814135600</v>
      </c>
      <c r="D215" s="5">
        <f>3847213829.55/(30*1000000)</f>
        <v>128.240460985</v>
      </c>
      <c r="E215" s="5">
        <f>2560547668.56/(30*1000000)</f>
        <v>85.351588952</v>
      </c>
      <c r="F215" s="5">
        <f>718467/(30*1000000)</f>
        <v>0.0239489</v>
      </c>
      <c r="G215" s="6">
        <v>37625</v>
      </c>
      <c r="H215" s="6">
        <v>38044</v>
      </c>
    </row>
    <row r="216" spans="1:8" ht="22.5">
      <c r="A216" s="3">
        <f t="shared" si="3"/>
        <v>214</v>
      </c>
      <c r="B216" s="4" t="s">
        <v>1303</v>
      </c>
      <c r="C216" s="3">
        <v>7736234498</v>
      </c>
      <c r="D216" s="5">
        <f>3846265377.98/(30*1000000)</f>
        <v>128.20884593266666</v>
      </c>
      <c r="E216" s="5">
        <f>3355642857.05/(30*1000000)</f>
        <v>111.85476190166668</v>
      </c>
      <c r="F216" s="5">
        <f>2513/(30*1000000)</f>
        <v>8.376666666666667E-05</v>
      </c>
      <c r="G216" s="6">
        <v>37958</v>
      </c>
      <c r="H216" s="6">
        <v>38350</v>
      </c>
    </row>
    <row r="217" spans="1:8" ht="11.25">
      <c r="A217" s="3">
        <f t="shared" si="3"/>
        <v>215</v>
      </c>
      <c r="B217" s="4" t="s">
        <v>1327</v>
      </c>
      <c r="C217" s="3">
        <v>7710467988</v>
      </c>
      <c r="D217" s="5">
        <f>3835421910.8/(30*1000000)</f>
        <v>127.84739702666667</v>
      </c>
      <c r="E217" s="5">
        <f>2538314671.8/(30*1000000)</f>
        <v>84.61048906</v>
      </c>
      <c r="F217" s="5">
        <f>671/(30*1000000)</f>
        <v>2.2366666666666667E-05</v>
      </c>
      <c r="G217" s="6">
        <v>38061</v>
      </c>
      <c r="H217" s="6">
        <v>38348</v>
      </c>
    </row>
    <row r="218" spans="1:8" ht="22.5">
      <c r="A218" s="3">
        <f t="shared" si="3"/>
        <v>216</v>
      </c>
      <c r="B218" s="4" t="s">
        <v>216</v>
      </c>
      <c r="C218" s="3">
        <v>814144322</v>
      </c>
      <c r="D218" s="5">
        <f>3825416973.63/(30*1000000)</f>
        <v>127.51389912100001</v>
      </c>
      <c r="E218" s="5">
        <f>2939629083.7/(30*1000000)</f>
        <v>97.98763612333333</v>
      </c>
      <c r="F218" s="5">
        <f>54566/(30*1000000)</f>
        <v>0.0018188666666666667</v>
      </c>
      <c r="G218" s="6">
        <v>37626</v>
      </c>
      <c r="H218" s="6">
        <v>38350</v>
      </c>
    </row>
    <row r="219" spans="1:8" ht="11.25">
      <c r="A219" s="3">
        <f t="shared" si="3"/>
        <v>217</v>
      </c>
      <c r="B219" s="4" t="s">
        <v>1307</v>
      </c>
      <c r="C219" s="3">
        <v>7715371302</v>
      </c>
      <c r="D219" s="5">
        <f>3819102145.8/(30*1000000)</f>
        <v>127.30340486</v>
      </c>
      <c r="E219" s="5">
        <f>3544324829.92/(30*1000000)</f>
        <v>118.14416099733333</v>
      </c>
      <c r="F219" s="5">
        <f>0/(30*1000000)</f>
        <v>0</v>
      </c>
      <c r="G219" s="6">
        <v>37992</v>
      </c>
      <c r="H219" s="6">
        <v>38351</v>
      </c>
    </row>
    <row r="220" spans="1:8" ht="11.25">
      <c r="A220" s="3">
        <f t="shared" si="3"/>
        <v>218</v>
      </c>
      <c r="B220" s="4" t="s">
        <v>686</v>
      </c>
      <c r="C220" s="3">
        <v>7728300757</v>
      </c>
      <c r="D220" s="5">
        <f>3786740215.69/(30*1000000)</f>
        <v>126.22467385633334</v>
      </c>
      <c r="E220" s="5">
        <f>1490221089.39/(30*1000000)</f>
        <v>49.674036313</v>
      </c>
      <c r="F220" s="5">
        <f>0/(30*1000000)</f>
        <v>0</v>
      </c>
      <c r="G220" s="6">
        <v>37928</v>
      </c>
      <c r="H220" s="6">
        <v>38352</v>
      </c>
    </row>
    <row r="221" spans="1:8" ht="34.5">
      <c r="A221" s="3">
        <f t="shared" si="3"/>
        <v>219</v>
      </c>
      <c r="B221" s="4" t="s">
        <v>262</v>
      </c>
      <c r="C221" s="3">
        <v>7703331390</v>
      </c>
      <c r="D221" s="5">
        <f>3772936004.64/(30*1000000)</f>
        <v>125.764533488</v>
      </c>
      <c r="E221" s="5">
        <f>708097.38/(30*1000000)</f>
        <v>0.023603246</v>
      </c>
      <c r="F221" s="5">
        <f>142784/(30*1000000)</f>
        <v>0.004759466666666667</v>
      </c>
      <c r="G221" s="6">
        <v>37732</v>
      </c>
      <c r="H221" s="6">
        <v>38350</v>
      </c>
    </row>
    <row r="222" spans="1:8" ht="11.25">
      <c r="A222" s="3">
        <f t="shared" si="3"/>
        <v>220</v>
      </c>
      <c r="B222" s="4" t="s">
        <v>252</v>
      </c>
      <c r="C222" s="3">
        <v>7718244302</v>
      </c>
      <c r="D222" s="5">
        <f>3771609511.84/(30*1000000)</f>
        <v>125.72031706133333</v>
      </c>
      <c r="E222" s="5">
        <f>12260/(30*1000000)</f>
        <v>0.00040866666666666666</v>
      </c>
      <c r="F222" s="5">
        <f>9760/(30*1000000)</f>
        <v>0.00032533333333333334</v>
      </c>
      <c r="G222" s="6">
        <v>38078</v>
      </c>
      <c r="H222" s="6">
        <v>38349</v>
      </c>
    </row>
    <row r="223" spans="1:8" ht="11.25">
      <c r="A223" s="3">
        <f t="shared" si="3"/>
        <v>221</v>
      </c>
      <c r="B223" s="4" t="s">
        <v>375</v>
      </c>
      <c r="C223" s="3">
        <v>7710523093</v>
      </c>
      <c r="D223" s="5">
        <f>3757876024.59/(30*1000000)</f>
        <v>125.262534153</v>
      </c>
      <c r="E223" s="5">
        <f>11000452/(30*1000000)</f>
        <v>0.3666817333333333</v>
      </c>
      <c r="F223" s="5">
        <f>252/(30*1000000)</f>
        <v>8.4E-06</v>
      </c>
      <c r="G223" s="6">
        <v>38201</v>
      </c>
      <c r="H223" s="6">
        <v>38352</v>
      </c>
    </row>
    <row r="224" spans="1:8" ht="11.25">
      <c r="A224" s="3">
        <f t="shared" si="3"/>
        <v>222</v>
      </c>
      <c r="B224" s="4" t="s">
        <v>642</v>
      </c>
      <c r="C224" s="3">
        <v>7743515235</v>
      </c>
      <c r="D224" s="5">
        <f>3754748375.62/(30*1000000)</f>
        <v>125.15827918733333</v>
      </c>
      <c r="E224" s="5">
        <f>1030523/(30*1000000)</f>
        <v>0.034350766666666664</v>
      </c>
      <c r="F224" s="5">
        <f>2523/(30*1000000)</f>
        <v>8.41E-05</v>
      </c>
      <c r="G224" s="6">
        <v>38166</v>
      </c>
      <c r="H224" s="6">
        <v>38336</v>
      </c>
    </row>
    <row r="225" spans="1:8" ht="11.25">
      <c r="A225" s="3">
        <f t="shared" si="3"/>
        <v>223</v>
      </c>
      <c r="B225" s="4" t="s">
        <v>1339</v>
      </c>
      <c r="C225" s="3">
        <v>7727228184</v>
      </c>
      <c r="D225" s="5">
        <f>3745388417.7/(30*1000000)</f>
        <v>124.84628058999999</v>
      </c>
      <c r="E225" s="5">
        <f>3458160060.63/(30*1000000)</f>
        <v>115.272002021</v>
      </c>
      <c r="F225" s="5">
        <f>4263/(30*1000000)</f>
        <v>0.0001421</v>
      </c>
      <c r="G225" s="6">
        <v>37735</v>
      </c>
      <c r="H225" s="6">
        <v>38352</v>
      </c>
    </row>
    <row r="226" spans="1:8" ht="11.25">
      <c r="A226" s="3">
        <f t="shared" si="3"/>
        <v>224</v>
      </c>
      <c r="B226" s="4" t="s">
        <v>421</v>
      </c>
      <c r="C226" s="3">
        <v>7714243795</v>
      </c>
      <c r="D226" s="5">
        <f>3739085448.33/(30*1000000)</f>
        <v>124.636181611</v>
      </c>
      <c r="E226" s="5">
        <f>1396967555.53/(30*1000000)</f>
        <v>46.56558518433333</v>
      </c>
      <c r="F226" s="5">
        <f>37000/(30*1000000)</f>
        <v>0.0012333333333333332</v>
      </c>
      <c r="G226" s="6">
        <v>37626</v>
      </c>
      <c r="H226" s="6">
        <v>38344</v>
      </c>
    </row>
    <row r="227" spans="1:8" ht="11.25">
      <c r="A227" s="3">
        <f t="shared" si="3"/>
        <v>225</v>
      </c>
      <c r="B227" s="4" t="s">
        <v>337</v>
      </c>
      <c r="C227" s="3">
        <v>7703348193</v>
      </c>
      <c r="D227" s="5">
        <f>3708604112.11/(30*1000000)</f>
        <v>123.62013707033334</v>
      </c>
      <c r="E227" s="5">
        <f>34413880.84/(30*1000000)</f>
        <v>1.1471293613333335</v>
      </c>
      <c r="F227" s="5">
        <f>36094/(30*1000000)</f>
        <v>0.0012031333333333333</v>
      </c>
      <c r="G227" s="6">
        <v>37644</v>
      </c>
      <c r="H227" s="6">
        <v>38352</v>
      </c>
    </row>
    <row r="228" spans="1:8" ht="11.25">
      <c r="A228" s="3">
        <f t="shared" si="3"/>
        <v>226</v>
      </c>
      <c r="B228" s="4" t="s">
        <v>275</v>
      </c>
      <c r="C228" s="3">
        <v>7705454246</v>
      </c>
      <c r="D228" s="5">
        <f>3700159751.73/(30*1000000)</f>
        <v>123.338658391</v>
      </c>
      <c r="E228" s="5">
        <f>261578615.05/(30*1000000)</f>
        <v>8.719287168333334</v>
      </c>
      <c r="F228" s="5">
        <f>0/(30*1000000)</f>
        <v>0</v>
      </c>
      <c r="G228" s="6">
        <v>37625</v>
      </c>
      <c r="H228" s="6">
        <v>37820</v>
      </c>
    </row>
    <row r="229" spans="1:8" ht="11.25">
      <c r="A229" s="3">
        <f t="shared" si="3"/>
        <v>227</v>
      </c>
      <c r="B229" s="4" t="s">
        <v>607</v>
      </c>
      <c r="C229" s="3">
        <v>7717134160</v>
      </c>
      <c r="D229" s="5">
        <f>3699328170.96/(30*1000000)</f>
        <v>123.31093903200001</v>
      </c>
      <c r="E229" s="5">
        <f>103075750.77/(30*1000000)</f>
        <v>3.435858359</v>
      </c>
      <c r="F229" s="5">
        <f>0/(30*1000000)</f>
        <v>0</v>
      </c>
      <c r="G229" s="6">
        <v>37629</v>
      </c>
      <c r="H229" s="6">
        <v>37769</v>
      </c>
    </row>
    <row r="230" spans="1:8" ht="11.25">
      <c r="A230" s="3">
        <f t="shared" si="3"/>
        <v>228</v>
      </c>
      <c r="B230" s="4" t="s">
        <v>362</v>
      </c>
      <c r="C230" s="3">
        <v>7703503473</v>
      </c>
      <c r="D230" s="5">
        <f>3689088517.72/(30*1000000)</f>
        <v>122.96961725733333</v>
      </c>
      <c r="E230" s="5">
        <f>773753446.31/(30*1000000)</f>
        <v>25.791781543666666</v>
      </c>
      <c r="F230" s="5">
        <f>60349/(30*1000000)</f>
        <v>0.0020116333333333332</v>
      </c>
      <c r="G230" s="6">
        <v>38020</v>
      </c>
      <c r="H230" s="6">
        <v>38352</v>
      </c>
    </row>
    <row r="231" spans="1:8" ht="11.25">
      <c r="A231" s="3">
        <f t="shared" si="3"/>
        <v>229</v>
      </c>
      <c r="B231" s="4" t="s">
        <v>1328</v>
      </c>
      <c r="C231" s="3">
        <v>7710468766</v>
      </c>
      <c r="D231" s="5">
        <f>3676104519.33/(30*1000000)</f>
        <v>122.536817311</v>
      </c>
      <c r="E231" s="5">
        <f>2912274097.02/(30*1000000)</f>
        <v>97.075803234</v>
      </c>
      <c r="F231" s="5">
        <f>377845/(30*1000000)</f>
        <v>0.012594833333333333</v>
      </c>
      <c r="G231" s="6">
        <v>37901</v>
      </c>
      <c r="H231" s="6">
        <v>38352</v>
      </c>
    </row>
    <row r="232" spans="1:8" ht="22.5">
      <c r="A232" s="3">
        <f t="shared" si="3"/>
        <v>230</v>
      </c>
      <c r="B232" s="4" t="s">
        <v>196</v>
      </c>
      <c r="C232" s="3">
        <v>3123050159</v>
      </c>
      <c r="D232" s="5">
        <f>3654012408.97/(30*1000000)</f>
        <v>121.80041363233333</v>
      </c>
      <c r="E232" s="5">
        <f>2196333571.06/(30*1000000)</f>
        <v>73.21111903533333</v>
      </c>
      <c r="F232" s="5">
        <f>0/(30*1000000)</f>
        <v>0</v>
      </c>
      <c r="G232" s="6">
        <v>37625</v>
      </c>
      <c r="H232" s="6">
        <v>38352</v>
      </c>
    </row>
    <row r="233" spans="1:8" ht="11.25">
      <c r="A233" s="3">
        <f t="shared" si="3"/>
        <v>231</v>
      </c>
      <c r="B233" s="4" t="s">
        <v>568</v>
      </c>
      <c r="C233" s="3">
        <v>7728258706</v>
      </c>
      <c r="D233" s="5">
        <f>3616035341.82/(30*1000000)</f>
        <v>120.534511394</v>
      </c>
      <c r="E233" s="5">
        <f>734996265.72/(30*1000000)</f>
        <v>24.499875524</v>
      </c>
      <c r="F233" s="5">
        <f>11460/(30*1000000)</f>
        <v>0.000382</v>
      </c>
      <c r="G233" s="6">
        <v>37625</v>
      </c>
      <c r="H233" s="6">
        <v>38174</v>
      </c>
    </row>
    <row r="234" spans="1:8" ht="22.5">
      <c r="A234" s="3">
        <f t="shared" si="3"/>
        <v>232</v>
      </c>
      <c r="B234" s="4" t="s">
        <v>274</v>
      </c>
      <c r="C234" s="3">
        <v>7705450072</v>
      </c>
      <c r="D234" s="5">
        <f>3614328280.7/(30*1000000)</f>
        <v>120.47760935666666</v>
      </c>
      <c r="E234" s="5">
        <f>1380386254.95/(30*1000000)</f>
        <v>46.012875165000004</v>
      </c>
      <c r="F234" s="5">
        <f>1760884/(30*1000000)</f>
        <v>0.05869613333333333</v>
      </c>
      <c r="G234" s="6">
        <v>37659</v>
      </c>
      <c r="H234" s="6">
        <v>38322</v>
      </c>
    </row>
    <row r="235" spans="1:8" ht="22.5">
      <c r="A235" s="3">
        <f t="shared" si="3"/>
        <v>233</v>
      </c>
      <c r="B235" s="4" t="s">
        <v>426</v>
      </c>
      <c r="C235" s="3">
        <v>7714279826</v>
      </c>
      <c r="D235" s="5">
        <f>3604377784.78/(30*1000000)</f>
        <v>120.14592615933334</v>
      </c>
      <c r="E235" s="5">
        <f>208974092.92/(30*1000000)</f>
        <v>6.965803097333333</v>
      </c>
      <c r="F235" s="5">
        <f>145866/(30*1000000)</f>
        <v>0.0048622</v>
      </c>
      <c r="G235" s="6">
        <v>37638</v>
      </c>
      <c r="H235" s="6">
        <v>38350</v>
      </c>
    </row>
    <row r="236" spans="1:8" ht="11.25">
      <c r="A236" s="3">
        <f t="shared" si="3"/>
        <v>234</v>
      </c>
      <c r="B236" s="4" t="s">
        <v>186</v>
      </c>
      <c r="C236" s="3">
        <v>4405005854</v>
      </c>
      <c r="D236" s="5">
        <f>3599190639.24/(30*1000000)</f>
        <v>119.97302130799999</v>
      </c>
      <c r="E236" s="5">
        <f>2762601724.49/(30*1000000)</f>
        <v>92.08672414966667</v>
      </c>
      <c r="F236" s="5">
        <f>809525/(30*1000000)</f>
        <v>0.026984166666666667</v>
      </c>
      <c r="G236" s="6">
        <v>37949</v>
      </c>
      <c r="H236" s="6">
        <v>38350</v>
      </c>
    </row>
    <row r="237" spans="1:8" ht="11.25">
      <c r="A237" s="3">
        <f t="shared" si="3"/>
        <v>235</v>
      </c>
      <c r="B237" s="4" t="s">
        <v>562</v>
      </c>
      <c r="C237" s="3">
        <v>7714516160</v>
      </c>
      <c r="D237" s="5">
        <f>3598991260.52/(30*1000000)</f>
        <v>119.96637535066667</v>
      </c>
      <c r="E237" s="5">
        <f>3423/(30*1000000)</f>
        <v>0.0001141</v>
      </c>
      <c r="F237" s="5">
        <f>3423/(30*1000000)</f>
        <v>0.0001141</v>
      </c>
      <c r="G237" s="6">
        <v>38160</v>
      </c>
      <c r="H237" s="6">
        <v>38336</v>
      </c>
    </row>
    <row r="238" spans="1:8" ht="11.25">
      <c r="A238" s="3">
        <f t="shared" si="3"/>
        <v>236</v>
      </c>
      <c r="B238" s="4" t="s">
        <v>640</v>
      </c>
      <c r="C238" s="3">
        <v>7736235974</v>
      </c>
      <c r="D238" s="5">
        <f>3598738566.81/(30*1000000)</f>
        <v>119.95795222699999</v>
      </c>
      <c r="E238" s="5">
        <f>23538524.09/(30*1000000)</f>
        <v>0.7846174696666667</v>
      </c>
      <c r="F238" s="5">
        <f>7357/(30*1000000)</f>
        <v>0.00024523333333333335</v>
      </c>
      <c r="G238" s="6">
        <v>38131</v>
      </c>
      <c r="H238" s="6">
        <v>38351</v>
      </c>
    </row>
    <row r="239" spans="1:8" ht="11.25">
      <c r="A239" s="3">
        <f t="shared" si="3"/>
        <v>237</v>
      </c>
      <c r="B239" s="4" t="s">
        <v>240</v>
      </c>
      <c r="C239" s="3">
        <v>7713530684</v>
      </c>
      <c r="D239" s="5">
        <f>3585801915.76/(30*1000000)</f>
        <v>119.52673052533333</v>
      </c>
      <c r="E239" s="5">
        <f>1615813426.56/(30*1000000)</f>
        <v>53.860447552</v>
      </c>
      <c r="F239" s="5">
        <f>0/(30*1000000)</f>
        <v>0</v>
      </c>
      <c r="G239" s="6">
        <v>38212</v>
      </c>
      <c r="H239" s="6">
        <v>38352</v>
      </c>
    </row>
    <row r="240" spans="1:8" ht="11.25">
      <c r="A240" s="3">
        <f t="shared" si="3"/>
        <v>238</v>
      </c>
      <c r="B240" s="4" t="s">
        <v>614</v>
      </c>
      <c r="C240" s="3">
        <v>7718249004</v>
      </c>
      <c r="D240" s="5">
        <f>3570817159.1/(30*1000000)</f>
        <v>119.02723863666667</v>
      </c>
      <c r="E240" s="5">
        <f>656014786.78/(30*1000000)</f>
        <v>21.86715955933333</v>
      </c>
      <c r="F240" s="5">
        <f>2321810/(30*1000000)</f>
        <v>0.07739366666666667</v>
      </c>
      <c r="G240" s="6">
        <v>37965</v>
      </c>
      <c r="H240" s="6">
        <v>38279</v>
      </c>
    </row>
    <row r="241" spans="1:8" ht="11.25">
      <c r="A241" s="3">
        <f t="shared" si="3"/>
        <v>239</v>
      </c>
      <c r="B241" s="4" t="s">
        <v>1326</v>
      </c>
      <c r="C241" s="3">
        <v>7710425890</v>
      </c>
      <c r="D241" s="5">
        <f>3544657902.27/(30*1000000)</f>
        <v>118.155263409</v>
      </c>
      <c r="E241" s="5">
        <f>2983167336.6/(30*1000000)</f>
        <v>99.43891122</v>
      </c>
      <c r="F241" s="5">
        <f>295/(30*1000000)</f>
        <v>9.833333333333333E-06</v>
      </c>
      <c r="G241" s="6">
        <v>37706</v>
      </c>
      <c r="H241" s="6">
        <v>38098</v>
      </c>
    </row>
    <row r="242" spans="1:8" ht="11.25">
      <c r="A242" s="3">
        <f t="shared" si="3"/>
        <v>240</v>
      </c>
      <c r="B242" s="4" t="s">
        <v>613</v>
      </c>
      <c r="C242" s="3">
        <v>7718241358</v>
      </c>
      <c r="D242" s="5">
        <f>3531611569.22/(30*1000000)</f>
        <v>117.72038564066666</v>
      </c>
      <c r="E242" s="5">
        <f>127069129.46/(30*1000000)</f>
        <v>4.235637648666667</v>
      </c>
      <c r="F242" s="5">
        <f>227426/(30*1000000)</f>
        <v>0.007580866666666667</v>
      </c>
      <c r="G242" s="6">
        <v>37852</v>
      </c>
      <c r="H242" s="6">
        <v>38093</v>
      </c>
    </row>
    <row r="243" spans="1:8" ht="11.25">
      <c r="A243" s="3">
        <f t="shared" si="3"/>
        <v>241</v>
      </c>
      <c r="B243" s="4" t="s">
        <v>162</v>
      </c>
      <c r="C243" s="3">
        <v>7704504470</v>
      </c>
      <c r="D243" s="5">
        <f>3529376827.29/(30*1000000)</f>
        <v>117.645894243</v>
      </c>
      <c r="E243" s="5">
        <f>3433284632/(30*1000000)</f>
        <v>114.44282106666667</v>
      </c>
      <c r="F243" s="5">
        <f>12232/(30*1000000)</f>
        <v>0.00040773333333333334</v>
      </c>
      <c r="G243" s="6">
        <v>38016</v>
      </c>
      <c r="H243" s="6">
        <v>38352</v>
      </c>
    </row>
    <row r="244" spans="1:8" ht="11.25">
      <c r="A244" s="3">
        <f t="shared" si="3"/>
        <v>242</v>
      </c>
      <c r="B244" s="4" t="s">
        <v>207</v>
      </c>
      <c r="C244" s="3">
        <v>411115375</v>
      </c>
      <c r="D244" s="5">
        <f>3511657144.06/(30*1000000)</f>
        <v>117.05523813533333</v>
      </c>
      <c r="E244" s="5">
        <f>1442583893.62/(30*1000000)</f>
        <v>48.08612978733333</v>
      </c>
      <c r="F244" s="5">
        <f>518118/(30*1000000)</f>
        <v>0.0172706</v>
      </c>
      <c r="G244" s="6">
        <v>38036</v>
      </c>
      <c r="H244" s="6">
        <v>38352</v>
      </c>
    </row>
    <row r="245" spans="1:8" ht="11.25">
      <c r="A245" s="3">
        <f t="shared" si="3"/>
        <v>243</v>
      </c>
      <c r="B245" s="4" t="s">
        <v>617</v>
      </c>
      <c r="C245" s="3">
        <v>7718255840</v>
      </c>
      <c r="D245" s="5">
        <f>3502599881.18/(30*1000000)</f>
        <v>116.75332937266666</v>
      </c>
      <c r="E245" s="5">
        <f>396626898.47/(30*1000000)</f>
        <v>13.220896615666668</v>
      </c>
      <c r="F245" s="5">
        <f>65606/(30*1000000)</f>
        <v>0.0021868666666666667</v>
      </c>
      <c r="G245" s="6">
        <v>38021</v>
      </c>
      <c r="H245" s="6">
        <v>38352</v>
      </c>
    </row>
    <row r="246" spans="1:8" ht="11.25">
      <c r="A246" s="3">
        <f t="shared" si="3"/>
        <v>244</v>
      </c>
      <c r="B246" s="4" t="s">
        <v>1302</v>
      </c>
      <c r="C246" s="3">
        <v>7736234177</v>
      </c>
      <c r="D246" s="5">
        <f>3456567820.02/(30*1000000)</f>
        <v>115.218927334</v>
      </c>
      <c r="E246" s="5">
        <f>2604810011.15/(30*1000000)</f>
        <v>86.82700037166667</v>
      </c>
      <c r="F246" s="5">
        <f>1910/(30*1000000)</f>
        <v>6.366666666666666E-05</v>
      </c>
      <c r="G246" s="6">
        <v>37963</v>
      </c>
      <c r="H246" s="6">
        <v>38351</v>
      </c>
    </row>
    <row r="247" spans="1:8" ht="11.25">
      <c r="A247" s="3">
        <f t="shared" si="3"/>
        <v>245</v>
      </c>
      <c r="B247" s="4" t="s">
        <v>413</v>
      </c>
      <c r="C247" s="3">
        <v>7713530677</v>
      </c>
      <c r="D247" s="5">
        <f>3440788009.46/(30*1000000)</f>
        <v>114.69293364866667</v>
      </c>
      <c r="E247" s="5">
        <f>14354528.78/(30*1000000)</f>
        <v>0.47848429266666664</v>
      </c>
      <c r="F247" s="5">
        <f>0/(30*1000000)</f>
        <v>0</v>
      </c>
      <c r="G247" s="6">
        <v>38259</v>
      </c>
      <c r="H247" s="6">
        <v>38349</v>
      </c>
    </row>
    <row r="248" spans="1:8" ht="11.25">
      <c r="A248" s="3">
        <f t="shared" si="3"/>
        <v>246</v>
      </c>
      <c r="B248" s="4" t="s">
        <v>170</v>
      </c>
      <c r="C248" s="3">
        <v>7705479201</v>
      </c>
      <c r="D248" s="5">
        <f>3428637672.9/(30*1000000)</f>
        <v>114.28792243000001</v>
      </c>
      <c r="E248" s="5">
        <f>2731903197.2/(30*1000000)</f>
        <v>91.06343990666666</v>
      </c>
      <c r="F248" s="5">
        <f>0/(30*1000000)</f>
        <v>0</v>
      </c>
      <c r="G248" s="6">
        <v>37651</v>
      </c>
      <c r="H248" s="6">
        <v>37841</v>
      </c>
    </row>
    <row r="249" spans="1:8" ht="11.25">
      <c r="A249" s="3">
        <f t="shared" si="3"/>
        <v>247</v>
      </c>
      <c r="B249" s="4" t="s">
        <v>648</v>
      </c>
      <c r="C249" s="3">
        <v>7733156386</v>
      </c>
      <c r="D249" s="5">
        <f>3413127316.39/(30*1000000)</f>
        <v>113.77091054633333</v>
      </c>
      <c r="E249" s="5">
        <f>2790315/(30*1000000)</f>
        <v>0.0930105</v>
      </c>
      <c r="F249" s="5">
        <f>5415/(30*1000000)</f>
        <v>0.0001805</v>
      </c>
      <c r="G249" s="6">
        <v>37788</v>
      </c>
      <c r="H249" s="6">
        <v>38352</v>
      </c>
    </row>
    <row r="250" spans="1:8" ht="11.25">
      <c r="A250" s="3">
        <f t="shared" si="3"/>
        <v>248</v>
      </c>
      <c r="B250" s="4" t="s">
        <v>596</v>
      </c>
      <c r="C250" s="3">
        <v>7733164570</v>
      </c>
      <c r="D250" s="5">
        <f>3384772271.37/(30*1000000)</f>
        <v>112.82574237899999</v>
      </c>
      <c r="E250" s="5">
        <f>1922725/(30*1000000)</f>
        <v>0.06409083333333333</v>
      </c>
      <c r="F250" s="5">
        <f>385/(30*1000000)</f>
        <v>1.2833333333333333E-05</v>
      </c>
      <c r="G250" s="6">
        <v>37897</v>
      </c>
      <c r="H250" s="6">
        <v>38254</v>
      </c>
    </row>
    <row r="251" spans="1:8" ht="11.25">
      <c r="A251" s="3">
        <f t="shared" si="3"/>
        <v>249</v>
      </c>
      <c r="B251" s="4" t="s">
        <v>1301</v>
      </c>
      <c r="C251" s="3">
        <v>7736227050</v>
      </c>
      <c r="D251" s="5">
        <f>3359188982.05/(30*1000000)</f>
        <v>111.97296606833333</v>
      </c>
      <c r="E251" s="5">
        <f>2927172246.99/(30*1000000)</f>
        <v>97.57240823299999</v>
      </c>
      <c r="F251" s="5">
        <f>244825/(30*1000000)</f>
        <v>0.008160833333333334</v>
      </c>
      <c r="G251" s="6">
        <v>37683</v>
      </c>
      <c r="H251" s="6">
        <v>38016</v>
      </c>
    </row>
    <row r="252" spans="1:8" ht="11.25">
      <c r="A252" s="3">
        <f t="shared" si="3"/>
        <v>250</v>
      </c>
      <c r="B252" s="4" t="s">
        <v>191</v>
      </c>
      <c r="C252" s="3">
        <v>5024060625</v>
      </c>
      <c r="D252" s="5">
        <f>3356358299.98/(30*1000000)</f>
        <v>111.87860999933334</v>
      </c>
      <c r="E252" s="5">
        <f>2298655864.93/(30*1000000)</f>
        <v>76.62186216433332</v>
      </c>
      <c r="F252" s="5">
        <f>806346/(30*1000000)</f>
        <v>0.0268782</v>
      </c>
      <c r="G252" s="6">
        <v>37916</v>
      </c>
      <c r="H252" s="6">
        <v>38350</v>
      </c>
    </row>
    <row r="253" spans="1:8" ht="11.25">
      <c r="A253" s="3">
        <f t="shared" si="3"/>
        <v>251</v>
      </c>
      <c r="B253" s="4" t="s">
        <v>1189</v>
      </c>
      <c r="C253" s="3">
        <v>7724283638</v>
      </c>
      <c r="D253" s="5">
        <f>3349523830.35/(30*1000000)</f>
        <v>111.650794345</v>
      </c>
      <c r="E253" s="5">
        <f>1009627448.44/(30*1000000)</f>
        <v>33.65424828133334</v>
      </c>
      <c r="F253" s="5">
        <f>336088/(30*1000000)</f>
        <v>0.011202933333333333</v>
      </c>
      <c r="G253" s="6">
        <v>37971</v>
      </c>
      <c r="H253" s="6">
        <v>38352</v>
      </c>
    </row>
    <row r="254" spans="1:8" ht="11.25">
      <c r="A254" s="3">
        <f t="shared" si="3"/>
        <v>252</v>
      </c>
      <c r="B254" s="4" t="s">
        <v>293</v>
      </c>
      <c r="C254" s="3">
        <v>7705481063</v>
      </c>
      <c r="D254" s="5">
        <f>3341756883.2/(30*1000000)</f>
        <v>111.39189610666666</v>
      </c>
      <c r="E254" s="5">
        <f>171193391.96/(30*1000000)</f>
        <v>5.706446398666667</v>
      </c>
      <c r="F254" s="5">
        <f>15659/(30*1000000)</f>
        <v>0.0005219666666666667</v>
      </c>
      <c r="G254" s="6">
        <v>37656</v>
      </c>
      <c r="H254" s="6">
        <v>38344</v>
      </c>
    </row>
    <row r="255" spans="1:8" ht="11.25">
      <c r="A255" s="3">
        <f t="shared" si="3"/>
        <v>253</v>
      </c>
      <c r="B255" s="4" t="s">
        <v>411</v>
      </c>
      <c r="C255" s="3">
        <v>7713516337</v>
      </c>
      <c r="D255" s="5">
        <f>3324791477.96/(30*1000000)</f>
        <v>110.82638259866667</v>
      </c>
      <c r="E255" s="5">
        <f>7090.03/(30*1000000)</f>
        <v>0.00023633433333333334</v>
      </c>
      <c r="F255" s="5">
        <f>0/(30*1000000)</f>
        <v>0</v>
      </c>
      <c r="G255" s="6">
        <v>38091</v>
      </c>
      <c r="H255" s="6">
        <v>38352</v>
      </c>
    </row>
    <row r="256" spans="1:8" ht="11.25">
      <c r="A256" s="3">
        <f t="shared" si="3"/>
        <v>254</v>
      </c>
      <c r="B256" s="4" t="s">
        <v>653</v>
      </c>
      <c r="C256" s="3">
        <v>7734257210</v>
      </c>
      <c r="D256" s="5">
        <f>3321984341.21/(30*1000000)</f>
        <v>110.73281137366666</v>
      </c>
      <c r="E256" s="5">
        <f>8273082/(30*1000000)</f>
        <v>0.2757694</v>
      </c>
      <c r="F256" s="5">
        <f>13076/(30*1000000)</f>
        <v>0.00043586666666666667</v>
      </c>
      <c r="G256" s="6">
        <v>37875</v>
      </c>
      <c r="H256" s="6">
        <v>38337</v>
      </c>
    </row>
    <row r="257" spans="1:8" ht="11.25">
      <c r="A257" s="3">
        <f t="shared" si="3"/>
        <v>255</v>
      </c>
      <c r="B257" s="4" t="s">
        <v>188</v>
      </c>
      <c r="C257" s="3">
        <v>5009045005</v>
      </c>
      <c r="D257" s="5">
        <f>3289351119.98/(30*1000000)</f>
        <v>109.64503733266666</v>
      </c>
      <c r="E257" s="5">
        <f>2893072166.04/(30*1000000)</f>
        <v>96.435738868</v>
      </c>
      <c r="F257" s="5">
        <f>102195/(30*1000000)</f>
        <v>0.0034065</v>
      </c>
      <c r="G257" s="6">
        <v>38105</v>
      </c>
      <c r="H257" s="6">
        <v>38350</v>
      </c>
    </row>
    <row r="258" spans="1:8" ht="11.25">
      <c r="A258" s="3">
        <f t="shared" si="3"/>
        <v>256</v>
      </c>
      <c r="B258" s="4" t="s">
        <v>627</v>
      </c>
      <c r="C258" s="3">
        <v>7733511873</v>
      </c>
      <c r="D258" s="5">
        <f>3278908431.55/(30*1000000)</f>
        <v>109.29694771833334</v>
      </c>
      <c r="E258" s="5">
        <f>518402216.75/(30*1000000)</f>
        <v>17.280073891666667</v>
      </c>
      <c r="F258" s="5">
        <f>267982/(30*1000000)</f>
        <v>0.008932733333333333</v>
      </c>
      <c r="G258" s="6">
        <v>37643</v>
      </c>
      <c r="H258" s="6">
        <v>38352</v>
      </c>
    </row>
    <row r="259" spans="1:8" ht="22.5">
      <c r="A259" s="3">
        <f t="shared" si="3"/>
        <v>257</v>
      </c>
      <c r="B259" s="4" t="s">
        <v>288</v>
      </c>
      <c r="C259" s="3">
        <v>7702512348</v>
      </c>
      <c r="D259" s="5">
        <f>3273193381.4/(30*1000000)</f>
        <v>109.10644604666668</v>
      </c>
      <c r="E259" s="5">
        <f>147444511.74/(30*1000000)</f>
        <v>4.914817058000001</v>
      </c>
      <c r="F259" s="5">
        <f>18261/(30*1000000)</f>
        <v>0.0006087</v>
      </c>
      <c r="G259" s="6">
        <v>38096</v>
      </c>
      <c r="H259" s="6">
        <v>38351</v>
      </c>
    </row>
    <row r="260" spans="1:8" ht="11.25">
      <c r="A260" s="3">
        <f t="shared" si="3"/>
        <v>258</v>
      </c>
      <c r="B260" s="4" t="s">
        <v>164</v>
      </c>
      <c r="C260" s="3">
        <v>7714246027</v>
      </c>
      <c r="D260" s="5">
        <f>3268804591.8/(30*1000000)</f>
        <v>108.96015306000001</v>
      </c>
      <c r="E260" s="5">
        <f>2383270864.49/(30*1000000)</f>
        <v>79.44236214966666</v>
      </c>
      <c r="F260" s="5">
        <f>21896/(30*1000000)</f>
        <v>0.0007298666666666667</v>
      </c>
      <c r="G260" s="6">
        <v>37625</v>
      </c>
      <c r="H260" s="6">
        <v>38258</v>
      </c>
    </row>
    <row r="261" spans="1:8" ht="11.25">
      <c r="A261" s="3">
        <f aca="true" t="shared" si="4" ref="A261:A324">1+A260</f>
        <v>259</v>
      </c>
      <c r="B261" s="4" t="s">
        <v>1295</v>
      </c>
      <c r="C261" s="3">
        <v>7729337887</v>
      </c>
      <c r="D261" s="5">
        <f>3267000478.16/(30*1000000)</f>
        <v>108.90001593866666</v>
      </c>
      <c r="E261" s="5">
        <f>3182322060.17/(30*1000000)</f>
        <v>106.07740200566667</v>
      </c>
      <c r="F261" s="5">
        <f>14282/(30*1000000)</f>
        <v>0.0004760666666666667</v>
      </c>
      <c r="G261" s="6">
        <v>37637</v>
      </c>
      <c r="H261" s="6">
        <v>38167</v>
      </c>
    </row>
    <row r="262" spans="1:8" ht="11.25">
      <c r="A262" s="3">
        <f t="shared" si="4"/>
        <v>260</v>
      </c>
      <c r="B262" s="4" t="s">
        <v>309</v>
      </c>
      <c r="C262" s="3">
        <v>7705563100</v>
      </c>
      <c r="D262" s="5">
        <f>3250111967.39/(30*1000000)</f>
        <v>108.33706557966666</v>
      </c>
      <c r="E262" s="5">
        <f>57392.54/(30*1000000)</f>
        <v>0.0019130846666666668</v>
      </c>
      <c r="F262" s="5">
        <f>23993/(30*1000000)</f>
        <v>0.0007997666666666667</v>
      </c>
      <c r="G262" s="6">
        <v>37965</v>
      </c>
      <c r="H262" s="6">
        <v>38344</v>
      </c>
    </row>
    <row r="263" spans="1:8" ht="22.5">
      <c r="A263" s="3">
        <f t="shared" si="4"/>
        <v>261</v>
      </c>
      <c r="B263" s="4" t="s">
        <v>278</v>
      </c>
      <c r="C263" s="3">
        <v>7705468739</v>
      </c>
      <c r="D263" s="5">
        <f>3235946984.28/(30*1000000)</f>
        <v>107.864899476</v>
      </c>
      <c r="E263" s="5">
        <f>521260672.39/(30*1000000)</f>
        <v>17.375355746333334</v>
      </c>
      <c r="F263" s="5">
        <f>9918/(30*1000000)</f>
        <v>0.0003306</v>
      </c>
      <c r="G263" s="6">
        <v>37631</v>
      </c>
      <c r="H263" s="6">
        <v>38156</v>
      </c>
    </row>
    <row r="264" spans="1:8" ht="11.25">
      <c r="A264" s="3">
        <f t="shared" si="4"/>
        <v>262</v>
      </c>
      <c r="B264" s="4" t="s">
        <v>367</v>
      </c>
      <c r="C264" s="3">
        <v>7710417200</v>
      </c>
      <c r="D264" s="5">
        <f>3220772166.39/(30*1000000)</f>
        <v>107.35907221299999</v>
      </c>
      <c r="E264" s="5">
        <f>35502487.67/(30*1000000)</f>
        <v>1.1834162556666667</v>
      </c>
      <c r="F264" s="5">
        <f>0/(30*1000000)</f>
        <v>0</v>
      </c>
      <c r="G264" s="6">
        <v>37625</v>
      </c>
      <c r="H264" s="6">
        <v>37790</v>
      </c>
    </row>
    <row r="265" spans="1:8" ht="11.25">
      <c r="A265" s="3">
        <f t="shared" si="4"/>
        <v>263</v>
      </c>
      <c r="B265" s="4" t="s">
        <v>1338</v>
      </c>
      <c r="C265" s="3">
        <v>7713329351</v>
      </c>
      <c r="D265" s="5">
        <f>3217645252.96/(30*1000000)</f>
        <v>107.25484176533334</v>
      </c>
      <c r="E265" s="5">
        <f>2971388375.53/(30*1000000)</f>
        <v>99.04627918433334</v>
      </c>
      <c r="F265" s="5">
        <f>0/(30*1000000)</f>
        <v>0</v>
      </c>
      <c r="G265" s="6">
        <v>37670</v>
      </c>
      <c r="H265" s="6">
        <v>38198</v>
      </c>
    </row>
    <row r="266" spans="1:8" ht="11.25">
      <c r="A266" s="3">
        <f t="shared" si="4"/>
        <v>264</v>
      </c>
      <c r="B266" s="4" t="s">
        <v>204</v>
      </c>
      <c r="C266" s="3">
        <v>814153091</v>
      </c>
      <c r="D266" s="5">
        <f>3216843977.26002/(30*1000000)</f>
        <v>107.22813257533399</v>
      </c>
      <c r="E266" s="5">
        <f>64442.68/(30*1000000)</f>
        <v>0.0021480893333333333</v>
      </c>
      <c r="F266" s="5">
        <f>8223/(30*1000000)</f>
        <v>0.0002741</v>
      </c>
      <c r="G266" s="6">
        <v>37812</v>
      </c>
      <c r="H266" s="6">
        <v>38350</v>
      </c>
    </row>
    <row r="267" spans="1:8" ht="11.25">
      <c r="A267" s="3">
        <f t="shared" si="4"/>
        <v>265</v>
      </c>
      <c r="B267" s="4" t="s">
        <v>312</v>
      </c>
      <c r="C267" s="3">
        <v>7703338131</v>
      </c>
      <c r="D267" s="5">
        <f>3206514739.48/(30*1000000)</f>
        <v>106.88382464933333</v>
      </c>
      <c r="E267" s="5">
        <f>702225601.82/(30*1000000)</f>
        <v>23.40752006066667</v>
      </c>
      <c r="F267" s="5">
        <f>1778468/(30*1000000)</f>
        <v>0.059282266666666666</v>
      </c>
      <c r="G267" s="6">
        <v>37630</v>
      </c>
      <c r="H267" s="6">
        <v>38141</v>
      </c>
    </row>
    <row r="268" spans="1:8" ht="22.5">
      <c r="A268" s="3">
        <f t="shared" si="4"/>
        <v>266</v>
      </c>
      <c r="B268" s="4" t="s">
        <v>347</v>
      </c>
      <c r="C268" s="3">
        <v>7705598551</v>
      </c>
      <c r="D268" s="5">
        <f>3193108887.59/(30*1000000)</f>
        <v>106.43696291966667</v>
      </c>
      <c r="E268" s="5">
        <f>19481973.9/(30*1000000)</f>
        <v>0.6493991299999999</v>
      </c>
      <c r="F268" s="5">
        <f>34609/(30*1000000)</f>
        <v>0.0011536333333333334</v>
      </c>
      <c r="G268" s="6">
        <v>38188</v>
      </c>
      <c r="H268" s="6">
        <v>38351</v>
      </c>
    </row>
    <row r="269" spans="1:8" ht="11.25">
      <c r="A269" s="3">
        <f t="shared" si="4"/>
        <v>267</v>
      </c>
      <c r="B269" s="4" t="s">
        <v>340</v>
      </c>
      <c r="C269" s="3">
        <v>7709400227</v>
      </c>
      <c r="D269" s="5">
        <f>3149528624.98/(30*1000000)</f>
        <v>104.98428749933333</v>
      </c>
      <c r="E269" s="5">
        <f>491432666.01/(30*1000000)</f>
        <v>16.381088867</v>
      </c>
      <c r="F269" s="5">
        <f>3000/(30*1000000)</f>
        <v>0.0001</v>
      </c>
      <c r="G269" s="6">
        <v>37725</v>
      </c>
      <c r="H269" s="6">
        <v>38328</v>
      </c>
    </row>
    <row r="270" spans="1:8" ht="11.25">
      <c r="A270" s="3">
        <f t="shared" si="4"/>
        <v>268</v>
      </c>
      <c r="B270" s="4" t="s">
        <v>407</v>
      </c>
      <c r="C270" s="3">
        <v>7713327146</v>
      </c>
      <c r="D270" s="5">
        <f>3133731239.83/(30*1000000)</f>
        <v>104.45770799433333</v>
      </c>
      <c r="E270" s="5">
        <f>367049458.6/(30*1000000)</f>
        <v>12.234981953333333</v>
      </c>
      <c r="F270" s="5">
        <f>12678/(30*1000000)</f>
        <v>0.0004226</v>
      </c>
      <c r="G270" s="6">
        <v>37649</v>
      </c>
      <c r="H270" s="6">
        <v>38352</v>
      </c>
    </row>
    <row r="271" spans="1:8" ht="11.25">
      <c r="A271" s="3">
        <f t="shared" si="4"/>
        <v>269</v>
      </c>
      <c r="B271" s="4" t="s">
        <v>246</v>
      </c>
      <c r="C271" s="3">
        <v>6230047727</v>
      </c>
      <c r="D271" s="5">
        <f>3129210471.06/(30*1000000)</f>
        <v>104.307015702</v>
      </c>
      <c r="E271" s="5">
        <f>440281829.2/(30*1000000)</f>
        <v>14.676060973333334</v>
      </c>
      <c r="F271" s="5">
        <f>396136/(30*1000000)</f>
        <v>0.013204533333333334</v>
      </c>
      <c r="G271" s="6">
        <v>38006</v>
      </c>
      <c r="H271" s="6">
        <v>38266</v>
      </c>
    </row>
    <row r="272" spans="1:8" ht="11.25">
      <c r="A272" s="3">
        <f t="shared" si="4"/>
        <v>270</v>
      </c>
      <c r="B272" s="4" t="s">
        <v>1360</v>
      </c>
      <c r="C272" s="3">
        <v>7709433286</v>
      </c>
      <c r="D272" s="5">
        <f>3114887847.75/(30*1000000)</f>
        <v>103.829594925</v>
      </c>
      <c r="E272" s="5">
        <f>3007162049.92/(30*1000000)</f>
        <v>100.23873499733334</v>
      </c>
      <c r="F272" s="5">
        <f>3594/(30*1000000)</f>
        <v>0.0001198</v>
      </c>
      <c r="G272" s="6">
        <v>38049</v>
      </c>
      <c r="H272" s="6">
        <v>38279</v>
      </c>
    </row>
    <row r="273" spans="1:8" ht="11.25">
      <c r="A273" s="3">
        <f t="shared" si="4"/>
        <v>271</v>
      </c>
      <c r="B273" s="4" t="s">
        <v>1325</v>
      </c>
      <c r="C273" s="3">
        <v>7710420267</v>
      </c>
      <c r="D273" s="5">
        <f>3114433023.49/(30*1000000)</f>
        <v>103.81443411633333</v>
      </c>
      <c r="E273" s="5">
        <f>1630895954.2/(30*1000000)</f>
        <v>54.363198473333334</v>
      </c>
      <c r="F273" s="5">
        <f>434072/(30*1000000)</f>
        <v>0.014469066666666667</v>
      </c>
      <c r="G273" s="6">
        <v>37664</v>
      </c>
      <c r="H273" s="6">
        <v>38020</v>
      </c>
    </row>
    <row r="274" spans="1:8" ht="11.25">
      <c r="A274" s="3">
        <f t="shared" si="4"/>
        <v>272</v>
      </c>
      <c r="B274" s="4" t="s">
        <v>639</v>
      </c>
      <c r="C274" s="3">
        <v>7736234480</v>
      </c>
      <c r="D274" s="5">
        <f>3113419787.73/(30*1000000)</f>
        <v>103.780659591</v>
      </c>
      <c r="E274" s="5">
        <f>1100001921.75/(30*1000000)</f>
        <v>36.666730725</v>
      </c>
      <c r="F274" s="5">
        <f>1921/(30*1000000)</f>
        <v>6.403333333333334E-05</v>
      </c>
      <c r="G274" s="6">
        <v>37963</v>
      </c>
      <c r="H274" s="6">
        <v>38349</v>
      </c>
    </row>
    <row r="275" spans="1:8" ht="11.25">
      <c r="A275" s="3">
        <f t="shared" si="4"/>
        <v>273</v>
      </c>
      <c r="B275" s="4" t="s">
        <v>235</v>
      </c>
      <c r="C275" s="3">
        <v>5018070495</v>
      </c>
      <c r="D275" s="5">
        <f>3108256120.28/(30*1000000)</f>
        <v>103.60853734266668</v>
      </c>
      <c r="E275" s="5">
        <f>224215901.23/(30*1000000)</f>
        <v>7.473863374333333</v>
      </c>
      <c r="F275" s="5">
        <f>1873422/(30*1000000)</f>
        <v>0.0624474</v>
      </c>
      <c r="G275" s="6">
        <v>37625</v>
      </c>
      <c r="H275" s="6">
        <v>37974</v>
      </c>
    </row>
    <row r="276" spans="1:8" ht="11.25">
      <c r="A276" s="3">
        <f t="shared" si="4"/>
        <v>274</v>
      </c>
      <c r="B276" s="4" t="s">
        <v>1334</v>
      </c>
      <c r="C276" s="3">
        <v>7713305431</v>
      </c>
      <c r="D276" s="5">
        <f>3105606133.79/(30*1000000)</f>
        <v>103.52020445966667</v>
      </c>
      <c r="E276" s="5">
        <f>1656213925.78/(30*1000000)</f>
        <v>55.20713085933333</v>
      </c>
      <c r="F276" s="5">
        <f>284451/(30*1000000)</f>
        <v>0.0094817</v>
      </c>
      <c r="G276" s="6">
        <v>37625</v>
      </c>
      <c r="H276" s="6">
        <v>38226</v>
      </c>
    </row>
    <row r="277" spans="1:8" ht="11.25">
      <c r="A277" s="3">
        <f t="shared" si="4"/>
        <v>275</v>
      </c>
      <c r="B277" s="4" t="s">
        <v>257</v>
      </c>
      <c r="C277" s="3">
        <v>7703303065</v>
      </c>
      <c r="D277" s="5">
        <f>3100447363.76/(30*1000000)</f>
        <v>103.34824545866667</v>
      </c>
      <c r="E277" s="5">
        <f>652349748.01/(30*1000000)</f>
        <v>21.744991600333332</v>
      </c>
      <c r="F277" s="5">
        <f>0/(30*1000000)</f>
        <v>0</v>
      </c>
      <c r="G277" s="6">
        <v>37625</v>
      </c>
      <c r="H277" s="6">
        <v>38135</v>
      </c>
    </row>
    <row r="278" spans="1:8" ht="11.25">
      <c r="A278" s="3">
        <f t="shared" si="4"/>
        <v>276</v>
      </c>
      <c r="B278" s="4" t="s">
        <v>208</v>
      </c>
      <c r="C278" s="3">
        <v>507022227</v>
      </c>
      <c r="D278" s="5">
        <f>3094669679.95/(30*1000000)</f>
        <v>103.15565599833333</v>
      </c>
      <c r="E278" s="5">
        <f>1082004258.24/(30*1000000)</f>
        <v>36.066808608</v>
      </c>
      <c r="F278" s="5">
        <f>7259/(30*1000000)</f>
        <v>0.00024196666666666668</v>
      </c>
      <c r="G278" s="6">
        <v>37995</v>
      </c>
      <c r="H278" s="6">
        <v>38343</v>
      </c>
    </row>
    <row r="279" spans="1:8" ht="11.25">
      <c r="A279" s="3">
        <f t="shared" si="4"/>
        <v>277</v>
      </c>
      <c r="B279" s="4" t="s">
        <v>405</v>
      </c>
      <c r="C279" s="3">
        <v>7709370501</v>
      </c>
      <c r="D279" s="5">
        <f>3077772056.42/(30*1000000)</f>
        <v>102.59240188066667</v>
      </c>
      <c r="E279" s="5">
        <f>4752/(30*1000000)</f>
        <v>0.0001584</v>
      </c>
      <c r="F279" s="5">
        <f>4752/(30*1000000)</f>
        <v>0.0001584</v>
      </c>
      <c r="G279" s="6">
        <v>37625</v>
      </c>
      <c r="H279" s="6">
        <v>38028</v>
      </c>
    </row>
    <row r="280" spans="1:8" ht="11.25">
      <c r="A280" s="3">
        <f t="shared" si="4"/>
        <v>278</v>
      </c>
      <c r="B280" s="4" t="s">
        <v>631</v>
      </c>
      <c r="C280" s="3">
        <v>7724286759</v>
      </c>
      <c r="D280" s="5">
        <f>3077522060.96/(30*1000000)</f>
        <v>102.58406869866667</v>
      </c>
      <c r="E280" s="5">
        <f>420974787.52/(30*1000000)</f>
        <v>14.032492917333332</v>
      </c>
      <c r="F280" s="5">
        <f>2647547/(30*1000000)</f>
        <v>0.08825156666666667</v>
      </c>
      <c r="G280" s="6">
        <v>38005</v>
      </c>
      <c r="H280" s="6">
        <v>38351</v>
      </c>
    </row>
    <row r="281" spans="1:8" ht="11.25">
      <c r="A281" s="3">
        <f t="shared" si="4"/>
        <v>279</v>
      </c>
      <c r="B281" s="4" t="s">
        <v>289</v>
      </c>
      <c r="C281" s="3">
        <v>7702531630</v>
      </c>
      <c r="D281" s="5">
        <f>3063682438.52/(30*1000000)</f>
        <v>102.12274795066666</v>
      </c>
      <c r="E281" s="5">
        <f>0/(30*1000000)</f>
        <v>0</v>
      </c>
      <c r="F281" s="5">
        <f>0/(30*1000000)</f>
        <v>0</v>
      </c>
      <c r="G281" s="6">
        <v>38260</v>
      </c>
      <c r="H281" s="6">
        <v>38352</v>
      </c>
    </row>
    <row r="282" spans="1:8" ht="11.25">
      <c r="A282" s="3">
        <f t="shared" si="4"/>
        <v>280</v>
      </c>
      <c r="B282" s="4" t="s">
        <v>1190</v>
      </c>
      <c r="C282" s="3">
        <v>7713216809</v>
      </c>
      <c r="D282" s="5">
        <f>3063605896.84/(30*1000000)</f>
        <v>102.12019656133334</v>
      </c>
      <c r="E282" s="5">
        <f>2463473696.84/(30*1000000)</f>
        <v>82.11578989466668</v>
      </c>
      <c r="F282" s="5">
        <f>500/(30*1000000)</f>
        <v>1.6666666666666667E-05</v>
      </c>
      <c r="G282" s="6">
        <v>37798</v>
      </c>
      <c r="H282" s="6">
        <v>38246</v>
      </c>
    </row>
    <row r="283" spans="1:8" ht="11.25">
      <c r="A283" s="3">
        <f t="shared" si="4"/>
        <v>281</v>
      </c>
      <c r="B283" s="4" t="s">
        <v>580</v>
      </c>
      <c r="C283" s="3">
        <v>7715360558</v>
      </c>
      <c r="D283" s="5">
        <f>3059192503.01/(30*1000000)</f>
        <v>101.97308343366667</v>
      </c>
      <c r="E283" s="5">
        <f>2643905/(30*1000000)</f>
        <v>0.08813016666666666</v>
      </c>
      <c r="F283" s="5">
        <f>8220/(30*1000000)</f>
        <v>0.000274</v>
      </c>
      <c r="G283" s="6">
        <v>37651</v>
      </c>
      <c r="H283" s="6">
        <v>38351</v>
      </c>
    </row>
    <row r="284" spans="1:8" ht="11.25">
      <c r="A284" s="3">
        <f t="shared" si="4"/>
        <v>282</v>
      </c>
      <c r="B284" s="4" t="s">
        <v>209</v>
      </c>
      <c r="C284" s="3">
        <v>515010137</v>
      </c>
      <c r="D284" s="5">
        <f>3055726325.49/(30*1000000)</f>
        <v>101.85754418299999</v>
      </c>
      <c r="E284" s="5">
        <f>1202410483.98/(30*1000000)</f>
        <v>40.080349466</v>
      </c>
      <c r="F284" s="5">
        <f>0/(30*1000000)</f>
        <v>0</v>
      </c>
      <c r="G284" s="6">
        <v>37917</v>
      </c>
      <c r="H284" s="6">
        <v>38135</v>
      </c>
    </row>
    <row r="285" spans="1:8" ht="22.5">
      <c r="A285" s="3">
        <f t="shared" si="4"/>
        <v>283</v>
      </c>
      <c r="B285" s="4" t="s">
        <v>672</v>
      </c>
      <c r="C285" s="3">
        <v>8905026546</v>
      </c>
      <c r="D285" s="5">
        <f>3055295445.59/(30*1000000)</f>
        <v>101.84318151966667</v>
      </c>
      <c r="E285" s="5">
        <f>421918471.87/(30*1000000)</f>
        <v>14.063949062333334</v>
      </c>
      <c r="F285" s="5">
        <f>12802/(30*1000000)</f>
        <v>0.0004267333333333333</v>
      </c>
      <c r="G285" s="6">
        <v>37636</v>
      </c>
      <c r="H285" s="6">
        <v>38352</v>
      </c>
    </row>
    <row r="286" spans="1:8" ht="11.25">
      <c r="A286" s="3">
        <f t="shared" si="4"/>
        <v>284</v>
      </c>
      <c r="B286" s="4" t="s">
        <v>571</v>
      </c>
      <c r="C286" s="3">
        <v>7724250216</v>
      </c>
      <c r="D286" s="5">
        <f>3043902935.96/(30*1000000)</f>
        <v>101.46343119866667</v>
      </c>
      <c r="E286" s="5">
        <f>2502014479.09/(30*1000000)</f>
        <v>83.40048263633334</v>
      </c>
      <c r="F286" s="5">
        <f>252877/(30*1000000)</f>
        <v>0.008429233333333333</v>
      </c>
      <c r="G286" s="6">
        <v>37625</v>
      </c>
      <c r="H286" s="6">
        <v>38338</v>
      </c>
    </row>
    <row r="287" spans="1:8" ht="11.25">
      <c r="A287" s="3">
        <f t="shared" si="4"/>
        <v>285</v>
      </c>
      <c r="B287" s="4" t="s">
        <v>425</v>
      </c>
      <c r="C287" s="3">
        <v>7714273126</v>
      </c>
      <c r="D287" s="5">
        <f>3035444022.67/(30*1000000)</f>
        <v>101.18146742233334</v>
      </c>
      <c r="E287" s="5">
        <f>1435485539.98/(30*1000000)</f>
        <v>47.84951799933334</v>
      </c>
      <c r="F287" s="5">
        <f>16506/(30*1000000)</f>
        <v>0.0005502</v>
      </c>
      <c r="G287" s="6">
        <v>37625</v>
      </c>
      <c r="H287" s="6">
        <v>38135</v>
      </c>
    </row>
    <row r="288" spans="1:8" ht="11.25">
      <c r="A288" s="3">
        <f t="shared" si="4"/>
        <v>286</v>
      </c>
      <c r="B288" s="4" t="s">
        <v>630</v>
      </c>
      <c r="C288" s="3">
        <v>7724253866</v>
      </c>
      <c r="D288" s="5">
        <f>3032660061.71/(30*1000000)</f>
        <v>101.08866872366667</v>
      </c>
      <c r="E288" s="5">
        <f>242250000/(30*1000000)</f>
        <v>8.075</v>
      </c>
      <c r="F288" s="5">
        <f>0/(30*1000000)</f>
        <v>0</v>
      </c>
      <c r="G288" s="6">
        <v>37774</v>
      </c>
      <c r="H288" s="6">
        <v>38049</v>
      </c>
    </row>
    <row r="289" spans="1:8" ht="22.5">
      <c r="A289" s="3">
        <f t="shared" si="4"/>
        <v>287</v>
      </c>
      <c r="B289" s="4" t="s">
        <v>680</v>
      </c>
      <c r="C289" s="3">
        <v>7715335921</v>
      </c>
      <c r="D289" s="5">
        <f>3026874271.63/(30*1000000)</f>
        <v>100.89580905433334</v>
      </c>
      <c r="E289" s="5">
        <f>705061227.3/(30*1000000)</f>
        <v>23.502040909999998</v>
      </c>
      <c r="F289" s="5">
        <f>8543/(30*1000000)</f>
        <v>0.0002847666666666667</v>
      </c>
      <c r="G289" s="6">
        <v>37657</v>
      </c>
      <c r="H289" s="6">
        <v>38195</v>
      </c>
    </row>
    <row r="290" spans="1:8" ht="11.25">
      <c r="A290" s="3">
        <f t="shared" si="4"/>
        <v>288</v>
      </c>
      <c r="B290" s="4" t="s">
        <v>409</v>
      </c>
      <c r="C290" s="3">
        <v>7713344014</v>
      </c>
      <c r="D290" s="5">
        <f>3023357565.53/(30*1000000)</f>
        <v>100.77858551766667</v>
      </c>
      <c r="E290" s="5">
        <f>892253647.46/(30*1000000)</f>
        <v>29.74178824866667</v>
      </c>
      <c r="F290" s="5">
        <f>316464/(30*1000000)</f>
        <v>0.0105488</v>
      </c>
      <c r="G290" s="6">
        <v>38029</v>
      </c>
      <c r="H290" s="6">
        <v>38352</v>
      </c>
    </row>
    <row r="291" spans="1:8" ht="11.25">
      <c r="A291" s="3">
        <f t="shared" si="4"/>
        <v>289</v>
      </c>
      <c r="B291" s="4" t="s">
        <v>1356</v>
      </c>
      <c r="C291" s="3">
        <v>7708227594</v>
      </c>
      <c r="D291" s="5">
        <f>3017168082.57/(30*1000000)</f>
        <v>100.57226941900001</v>
      </c>
      <c r="E291" s="5">
        <f>2562330375.44/(30*1000000)</f>
        <v>85.41101251466667</v>
      </c>
      <c r="F291" s="5">
        <f>375/(30*1000000)</f>
        <v>1.25E-05</v>
      </c>
      <c r="G291" s="6">
        <v>38061</v>
      </c>
      <c r="H291" s="6">
        <v>38351</v>
      </c>
    </row>
    <row r="292" spans="1:8" ht="11.25">
      <c r="A292" s="3">
        <f t="shared" si="4"/>
        <v>290</v>
      </c>
      <c r="B292" s="4" t="s">
        <v>1313</v>
      </c>
      <c r="C292" s="3">
        <v>7717143397</v>
      </c>
      <c r="D292" s="5">
        <f>3012423000/(30*1000000)</f>
        <v>100.4141</v>
      </c>
      <c r="E292" s="5">
        <f>2935491416/(30*1000000)</f>
        <v>97.84971386666666</v>
      </c>
      <c r="F292" s="5">
        <f>2096/(30*1000000)</f>
        <v>6.986666666666667E-05</v>
      </c>
      <c r="G292" s="6">
        <v>37917</v>
      </c>
      <c r="H292" s="6">
        <v>38133</v>
      </c>
    </row>
    <row r="293" spans="1:8" ht="11.25">
      <c r="A293" s="3">
        <f t="shared" si="4"/>
        <v>291</v>
      </c>
      <c r="B293" s="4" t="s">
        <v>361</v>
      </c>
      <c r="C293" s="3">
        <v>7709514721</v>
      </c>
      <c r="D293" s="5">
        <f>3011162298.6/(30*1000000)</f>
        <v>100.37207662</v>
      </c>
      <c r="E293" s="5">
        <f>50168149.81/(30*1000000)</f>
        <v>1.6722716603333334</v>
      </c>
      <c r="F293" s="5">
        <f>2821/(30*1000000)</f>
        <v>9.403333333333333E-05</v>
      </c>
      <c r="G293" s="6">
        <v>38156</v>
      </c>
      <c r="H293" s="6">
        <v>38350</v>
      </c>
    </row>
    <row r="294" spans="1:8" ht="11.25">
      <c r="A294" s="3">
        <f t="shared" si="4"/>
        <v>292</v>
      </c>
      <c r="B294" s="4" t="s">
        <v>544</v>
      </c>
      <c r="C294" s="3">
        <v>7714300468</v>
      </c>
      <c r="D294" s="5">
        <f>3004044903.89/(30*1000000)</f>
        <v>100.13483012966667</v>
      </c>
      <c r="E294" s="5">
        <f>228950697.61/(30*1000000)</f>
        <v>7.631689920333334</v>
      </c>
      <c r="F294" s="5">
        <f>2425/(30*1000000)</f>
        <v>8.083333333333334E-05</v>
      </c>
      <c r="G294" s="6">
        <v>37725</v>
      </c>
      <c r="H294" s="6">
        <v>38351</v>
      </c>
    </row>
    <row r="295" spans="1:8" ht="11.25">
      <c r="A295" s="3">
        <f t="shared" si="4"/>
        <v>293</v>
      </c>
      <c r="B295" s="4" t="s">
        <v>1191</v>
      </c>
      <c r="C295" s="3">
        <v>7703283669</v>
      </c>
      <c r="D295" s="5">
        <f>3003121590.66/(30*1000000)</f>
        <v>100.10405302199999</v>
      </c>
      <c r="E295" s="5">
        <f>262348434.64/(30*1000000)</f>
        <v>8.744947821333334</v>
      </c>
      <c r="F295" s="5">
        <f>2590495/(30*1000000)</f>
        <v>0.08634983333333333</v>
      </c>
      <c r="G295" s="6">
        <v>37625</v>
      </c>
      <c r="H295" s="6">
        <v>37991</v>
      </c>
    </row>
    <row r="296" spans="1:8" ht="11.25">
      <c r="A296" s="3">
        <f t="shared" si="4"/>
        <v>294</v>
      </c>
      <c r="B296" s="4" t="s">
        <v>387</v>
      </c>
      <c r="C296" s="3">
        <v>7707308829</v>
      </c>
      <c r="D296" s="5">
        <f>2983895310.91/(30*1000000)</f>
        <v>99.46317703033333</v>
      </c>
      <c r="E296" s="5">
        <f>848644582/(30*1000000)</f>
        <v>28.288152733333334</v>
      </c>
      <c r="F296" s="5">
        <f>956282/(30*1000000)</f>
        <v>0.03187606666666667</v>
      </c>
      <c r="G296" s="6">
        <v>37782</v>
      </c>
      <c r="H296" s="6">
        <v>38351</v>
      </c>
    </row>
    <row r="297" spans="1:8" ht="11.25">
      <c r="A297" s="3">
        <f t="shared" si="4"/>
        <v>295</v>
      </c>
      <c r="B297" s="4" t="s">
        <v>392</v>
      </c>
      <c r="C297" s="3">
        <v>7707506330</v>
      </c>
      <c r="D297" s="5">
        <f>2983467600/(30*1000000)</f>
        <v>99.44892</v>
      </c>
      <c r="E297" s="5">
        <f>92101763/(30*1000000)</f>
        <v>3.0700587666666665</v>
      </c>
      <c r="F297" s="5">
        <f>1763/(30*1000000)</f>
        <v>5.876666666666667E-05</v>
      </c>
      <c r="G297" s="6">
        <v>38196</v>
      </c>
      <c r="H297" s="6">
        <v>38350</v>
      </c>
    </row>
    <row r="298" spans="1:8" ht="11.25">
      <c r="A298" s="3">
        <f t="shared" si="4"/>
        <v>296</v>
      </c>
      <c r="B298" s="4" t="s">
        <v>1343</v>
      </c>
      <c r="C298" s="3">
        <v>7714548412</v>
      </c>
      <c r="D298" s="5">
        <f>2974930826.24/(30*1000000)</f>
        <v>99.16436087466666</v>
      </c>
      <c r="E298" s="5">
        <f>2270434000/(30*1000000)</f>
        <v>75.68113333333334</v>
      </c>
      <c r="F298" s="5">
        <f>0/(30*1000000)</f>
        <v>0</v>
      </c>
      <c r="G298" s="6">
        <v>38191</v>
      </c>
      <c r="H298" s="6">
        <v>38352</v>
      </c>
    </row>
    <row r="299" spans="1:8" ht="11.25">
      <c r="A299" s="3">
        <f t="shared" si="4"/>
        <v>297</v>
      </c>
      <c r="B299" s="4" t="s">
        <v>646</v>
      </c>
      <c r="C299" s="3">
        <v>7733154075</v>
      </c>
      <c r="D299" s="5">
        <f>2967903521.43/(30*1000000)</f>
        <v>98.93011738099999</v>
      </c>
      <c r="E299" s="5">
        <f>1461575.81/(30*1000000)</f>
        <v>0.04871919366666667</v>
      </c>
      <c r="F299" s="5">
        <f>0/(30*1000000)</f>
        <v>0</v>
      </c>
      <c r="G299" s="6">
        <v>37782</v>
      </c>
      <c r="H299" s="6">
        <v>38089</v>
      </c>
    </row>
    <row r="300" spans="1:8" ht="22.5">
      <c r="A300" s="3">
        <f t="shared" si="4"/>
        <v>298</v>
      </c>
      <c r="B300" s="4" t="s">
        <v>236</v>
      </c>
      <c r="C300" s="3">
        <v>5024054734</v>
      </c>
      <c r="D300" s="5">
        <f>2951031865.56/(30*1000000)</f>
        <v>98.367728852</v>
      </c>
      <c r="E300" s="5">
        <f>676289912.11/(30*1000000)</f>
        <v>22.542997070333335</v>
      </c>
      <c r="F300" s="5">
        <f>2111678/(30*1000000)</f>
        <v>0.07038926666666667</v>
      </c>
      <c r="G300" s="6">
        <v>37665</v>
      </c>
      <c r="H300" s="6">
        <v>38352</v>
      </c>
    </row>
    <row r="301" spans="1:8" ht="11.25">
      <c r="A301" s="3">
        <f t="shared" si="4"/>
        <v>299</v>
      </c>
      <c r="B301" s="4" t="s">
        <v>295</v>
      </c>
      <c r="C301" s="3">
        <v>7705487925</v>
      </c>
      <c r="D301" s="5">
        <f>2949766800.59/(30*1000000)</f>
        <v>98.32556001966667</v>
      </c>
      <c r="E301" s="5">
        <f>10000808/(30*1000000)</f>
        <v>0.3333602666666667</v>
      </c>
      <c r="F301" s="5">
        <f>808/(30*1000000)</f>
        <v>2.6933333333333332E-05</v>
      </c>
      <c r="G301" s="6">
        <v>37791</v>
      </c>
      <c r="H301" s="6">
        <v>38057</v>
      </c>
    </row>
    <row r="302" spans="1:8" ht="11.25">
      <c r="A302" s="3">
        <f t="shared" si="4"/>
        <v>300</v>
      </c>
      <c r="B302" s="4" t="s">
        <v>408</v>
      </c>
      <c r="C302" s="3">
        <v>7713342948</v>
      </c>
      <c r="D302" s="5">
        <f>2945149858.23/(30*1000000)</f>
        <v>98.171661941</v>
      </c>
      <c r="E302" s="5">
        <f>15234015.77/(30*1000000)</f>
        <v>0.5078005256666667</v>
      </c>
      <c r="F302" s="5">
        <f>0/(30*1000000)</f>
        <v>0</v>
      </c>
      <c r="G302" s="6">
        <v>37797</v>
      </c>
      <c r="H302" s="6">
        <v>38268</v>
      </c>
    </row>
    <row r="303" spans="1:8" ht="11.25">
      <c r="A303" s="3">
        <f t="shared" si="4"/>
        <v>301</v>
      </c>
      <c r="B303" s="4" t="s">
        <v>422</v>
      </c>
      <c r="C303" s="3">
        <v>7714258270</v>
      </c>
      <c r="D303" s="5">
        <f>2930215781.37/(30*1000000)</f>
        <v>97.67385937899999</v>
      </c>
      <c r="E303" s="5">
        <f>347116556.95/(30*1000000)</f>
        <v>11.570551898333333</v>
      </c>
      <c r="F303" s="5">
        <f>10807/(30*1000000)</f>
        <v>0.0003602333333333333</v>
      </c>
      <c r="G303" s="6">
        <v>37626</v>
      </c>
      <c r="H303" s="6">
        <v>38028</v>
      </c>
    </row>
    <row r="304" spans="1:8" ht="22.5">
      <c r="A304" s="3">
        <f t="shared" si="4"/>
        <v>302</v>
      </c>
      <c r="B304" s="4" t="s">
        <v>259</v>
      </c>
      <c r="C304" s="3">
        <v>7703311443</v>
      </c>
      <c r="D304" s="5">
        <f>2927649982.98/(30*1000000)</f>
        <v>97.58833276600001</v>
      </c>
      <c r="E304" s="5">
        <f>1081295603.27/(30*1000000)</f>
        <v>36.04318677566667</v>
      </c>
      <c r="F304" s="5">
        <f>227923/(30*1000000)</f>
        <v>0.007597433333333333</v>
      </c>
      <c r="G304" s="6">
        <v>37626</v>
      </c>
      <c r="H304" s="6">
        <v>38097</v>
      </c>
    </row>
    <row r="305" spans="1:8" ht="11.25">
      <c r="A305" s="3">
        <f t="shared" si="4"/>
        <v>303</v>
      </c>
      <c r="B305" s="4" t="s">
        <v>599</v>
      </c>
      <c r="C305" s="3">
        <v>7733131342</v>
      </c>
      <c r="D305" s="5">
        <f>2919538643.78/(30*1000000)</f>
        <v>97.31795479266667</v>
      </c>
      <c r="E305" s="5">
        <f>720/(30*1000000)</f>
        <v>2.4E-05</v>
      </c>
      <c r="F305" s="5">
        <f>720/(30*1000000)</f>
        <v>2.4E-05</v>
      </c>
      <c r="G305" s="6">
        <v>37638</v>
      </c>
      <c r="H305" s="6">
        <v>37900</v>
      </c>
    </row>
    <row r="306" spans="1:8" ht="11.25">
      <c r="A306" s="3">
        <f t="shared" si="4"/>
        <v>304</v>
      </c>
      <c r="B306" s="4" t="s">
        <v>1296</v>
      </c>
      <c r="C306" s="3">
        <v>7730173489</v>
      </c>
      <c r="D306" s="5">
        <f>2919525980/(30*1000000)</f>
        <v>97.31753266666666</v>
      </c>
      <c r="E306" s="5">
        <f>1541973958.4/(30*1000000)</f>
        <v>51.39913194666667</v>
      </c>
      <c r="F306" s="5">
        <f>876474/(30*1000000)</f>
        <v>0.0292158</v>
      </c>
      <c r="G306" s="6">
        <v>37924</v>
      </c>
      <c r="H306" s="6">
        <v>38351</v>
      </c>
    </row>
    <row r="307" spans="1:8" ht="11.25">
      <c r="A307" s="3">
        <f t="shared" si="4"/>
        <v>305</v>
      </c>
      <c r="B307" s="4" t="s">
        <v>579</v>
      </c>
      <c r="C307" s="3">
        <v>7715357650</v>
      </c>
      <c r="D307" s="5">
        <f>2910981273.93/(30*1000000)</f>
        <v>97.03270913099999</v>
      </c>
      <c r="E307" s="5">
        <f>625/(30*1000000)</f>
        <v>2.0833333333333333E-05</v>
      </c>
      <c r="F307" s="5">
        <f>625/(30*1000000)</f>
        <v>2.0833333333333333E-05</v>
      </c>
      <c r="G307" s="6">
        <v>37649</v>
      </c>
      <c r="H307" s="6">
        <v>38099</v>
      </c>
    </row>
    <row r="308" spans="1:8" ht="11.25">
      <c r="A308" s="3">
        <f t="shared" si="4"/>
        <v>306</v>
      </c>
      <c r="B308" s="4" t="s">
        <v>228</v>
      </c>
      <c r="C308" s="3">
        <v>7705512508</v>
      </c>
      <c r="D308" s="5">
        <f>2903118466.05/(30*1000000)</f>
        <v>96.770615535</v>
      </c>
      <c r="E308" s="5">
        <f>1089418680.65/(30*1000000)</f>
        <v>36.31395602166667</v>
      </c>
      <c r="F308" s="5">
        <f>297811/(30*1000000)</f>
        <v>0.009927033333333333</v>
      </c>
      <c r="G308" s="6">
        <v>37924</v>
      </c>
      <c r="H308" s="6">
        <v>38352</v>
      </c>
    </row>
    <row r="309" spans="1:8" ht="11.25">
      <c r="A309" s="3">
        <f t="shared" si="4"/>
        <v>307</v>
      </c>
      <c r="B309" s="4" t="s">
        <v>419</v>
      </c>
      <c r="C309" s="3">
        <v>7722261660</v>
      </c>
      <c r="D309" s="5">
        <f>2894559416.35/(30*1000000)</f>
        <v>96.48531387833333</v>
      </c>
      <c r="E309" s="5">
        <f>371015710.85/(30*1000000)</f>
        <v>12.367190361666667</v>
      </c>
      <c r="F309" s="5">
        <f>150/(30*1000000)</f>
        <v>5E-06</v>
      </c>
      <c r="G309" s="6">
        <v>37625</v>
      </c>
      <c r="H309" s="6">
        <v>37904</v>
      </c>
    </row>
    <row r="310" spans="1:8" ht="11.25">
      <c r="A310" s="3">
        <f t="shared" si="4"/>
        <v>308</v>
      </c>
      <c r="B310" s="4" t="s">
        <v>633</v>
      </c>
      <c r="C310" s="3">
        <v>7725157499</v>
      </c>
      <c r="D310" s="5">
        <f>2889142289.38/(30*1000000)</f>
        <v>96.30474297933334</v>
      </c>
      <c r="E310" s="5">
        <f>231298736.87/(30*1000000)</f>
        <v>7.709957895666667</v>
      </c>
      <c r="F310" s="5">
        <f>0/(30*1000000)</f>
        <v>0</v>
      </c>
      <c r="G310" s="6">
        <v>37657</v>
      </c>
      <c r="H310" s="6">
        <v>38169</v>
      </c>
    </row>
    <row r="311" spans="1:8" ht="11.25">
      <c r="A311" s="3">
        <f t="shared" si="4"/>
        <v>309</v>
      </c>
      <c r="B311" s="4" t="s">
        <v>351</v>
      </c>
      <c r="C311" s="3">
        <v>7706278152</v>
      </c>
      <c r="D311" s="5">
        <f>2883502279.91/(30*1000000)</f>
        <v>96.11674266366666</v>
      </c>
      <c r="E311" s="5">
        <f>503292361.89/(30*1000000)</f>
        <v>16.776412063</v>
      </c>
      <c r="F311" s="5">
        <f>292135/(30*1000000)</f>
        <v>0.009737833333333333</v>
      </c>
      <c r="G311" s="6">
        <v>37634</v>
      </c>
      <c r="H311" s="6">
        <v>38348</v>
      </c>
    </row>
    <row r="312" spans="1:8" ht="11.25">
      <c r="A312" s="3">
        <f t="shared" si="4"/>
        <v>310</v>
      </c>
      <c r="B312" s="4" t="s">
        <v>366</v>
      </c>
      <c r="C312" s="3">
        <v>7710407097</v>
      </c>
      <c r="D312" s="5">
        <f>2879654335.07/(30*1000000)</f>
        <v>95.98847783566667</v>
      </c>
      <c r="E312" s="5">
        <f>1211815437.59/(30*1000000)</f>
        <v>40.39384791966666</v>
      </c>
      <c r="F312" s="5">
        <f>764880/(30*1000000)</f>
        <v>0.025496</v>
      </c>
      <c r="G312" s="6">
        <v>37625</v>
      </c>
      <c r="H312" s="6">
        <v>38138</v>
      </c>
    </row>
    <row r="313" spans="1:8" ht="11.25">
      <c r="A313" s="3">
        <f t="shared" si="4"/>
        <v>311</v>
      </c>
      <c r="B313" s="4" t="s">
        <v>1311</v>
      </c>
      <c r="C313" s="3">
        <v>7716201769</v>
      </c>
      <c r="D313" s="5">
        <f>2876374383.44/(30*1000000)</f>
        <v>95.87914611466667</v>
      </c>
      <c r="E313" s="5">
        <f>2338000148.64/(30*1000000)</f>
        <v>77.933338288</v>
      </c>
      <c r="F313" s="5">
        <f>193217/(30*1000000)</f>
        <v>0.006440566666666666</v>
      </c>
      <c r="G313" s="6">
        <v>37630</v>
      </c>
      <c r="H313" s="6">
        <v>38352</v>
      </c>
    </row>
    <row r="314" spans="1:8" ht="11.25">
      <c r="A314" s="3">
        <f t="shared" si="4"/>
        <v>312</v>
      </c>
      <c r="B314" s="4" t="s">
        <v>685</v>
      </c>
      <c r="C314" s="3">
        <v>7727241114</v>
      </c>
      <c r="D314" s="5">
        <f>2874204009.29/(30*1000000)</f>
        <v>95.80680030966667</v>
      </c>
      <c r="E314" s="5">
        <f>1240313473.69/(30*1000000)</f>
        <v>41.34378245633334</v>
      </c>
      <c r="F314" s="5">
        <f>0/(30*1000000)</f>
        <v>0</v>
      </c>
      <c r="G314" s="6">
        <v>38009</v>
      </c>
      <c r="H314" s="6">
        <v>38295</v>
      </c>
    </row>
    <row r="315" spans="1:8" ht="11.25">
      <c r="A315" s="3">
        <f t="shared" si="4"/>
        <v>313</v>
      </c>
      <c r="B315" s="4" t="s">
        <v>356</v>
      </c>
      <c r="C315" s="3">
        <v>7706300760</v>
      </c>
      <c r="D315" s="5">
        <f>2851761444.11/(30*1000000)</f>
        <v>95.05871480366667</v>
      </c>
      <c r="E315" s="5">
        <f>10454339/(30*1000000)</f>
        <v>0.3484779666666667</v>
      </c>
      <c r="F315" s="5">
        <f>6339/(30*1000000)</f>
        <v>0.0002113</v>
      </c>
      <c r="G315" s="6">
        <v>38001</v>
      </c>
      <c r="H315" s="6">
        <v>38281</v>
      </c>
    </row>
    <row r="316" spans="1:8" ht="11.25">
      <c r="A316" s="3">
        <f t="shared" si="4"/>
        <v>314</v>
      </c>
      <c r="B316" s="4" t="s">
        <v>1322</v>
      </c>
      <c r="C316" s="3">
        <v>7724241892</v>
      </c>
      <c r="D316" s="5">
        <f>2849956227.6/(30*1000000)</f>
        <v>94.99854092</v>
      </c>
      <c r="E316" s="5">
        <f>2730370959.24/(30*1000000)</f>
        <v>91.01236530799999</v>
      </c>
      <c r="F316" s="5">
        <f>860/(30*1000000)</f>
        <v>2.8666666666666668E-05</v>
      </c>
      <c r="G316" s="6">
        <v>37629</v>
      </c>
      <c r="H316" s="6">
        <v>38156</v>
      </c>
    </row>
    <row r="317" spans="1:8" ht="22.5">
      <c r="A317" s="3">
        <f t="shared" si="4"/>
        <v>315</v>
      </c>
      <c r="B317" s="4" t="s">
        <v>364</v>
      </c>
      <c r="C317" s="3">
        <v>7710404106</v>
      </c>
      <c r="D317" s="5">
        <f>2807706365.4/(30*1000000)</f>
        <v>93.59021218000001</v>
      </c>
      <c r="E317" s="5">
        <f>546726982.81/(30*1000000)</f>
        <v>18.224232760333333</v>
      </c>
      <c r="F317" s="5">
        <f>1852668/(30*1000000)</f>
        <v>0.0617556</v>
      </c>
      <c r="G317" s="6">
        <v>37629</v>
      </c>
      <c r="H317" s="6">
        <v>38202</v>
      </c>
    </row>
    <row r="318" spans="1:8" ht="11.25">
      <c r="A318" s="3">
        <f t="shared" si="4"/>
        <v>316</v>
      </c>
      <c r="B318" s="4" t="s">
        <v>238</v>
      </c>
      <c r="C318" s="3">
        <v>3702045431</v>
      </c>
      <c r="D318" s="5">
        <f>2805539045.21/(30*1000000)</f>
        <v>93.51796817366667</v>
      </c>
      <c r="E318" s="5">
        <f>642922162.3/(30*1000000)</f>
        <v>21.430738743333333</v>
      </c>
      <c r="F318" s="5">
        <f>1657766/(30*1000000)</f>
        <v>0.05525886666666667</v>
      </c>
      <c r="G318" s="6">
        <v>38005</v>
      </c>
      <c r="H318" s="6">
        <v>38350</v>
      </c>
    </row>
    <row r="319" spans="1:8" ht="11.25">
      <c r="A319" s="3">
        <f t="shared" si="4"/>
        <v>317</v>
      </c>
      <c r="B319" s="4" t="s">
        <v>546</v>
      </c>
      <c r="C319" s="3">
        <v>7709411853</v>
      </c>
      <c r="D319" s="5">
        <f>2803974405.75/(30*1000000)</f>
        <v>93.465813525</v>
      </c>
      <c r="E319" s="5">
        <f>103766124.81/(30*1000000)</f>
        <v>3.458870827</v>
      </c>
      <c r="F319" s="5">
        <f>438413/(30*1000000)</f>
        <v>0.014613766666666667</v>
      </c>
      <c r="G319" s="6">
        <v>37753</v>
      </c>
      <c r="H319" s="6">
        <v>38351</v>
      </c>
    </row>
    <row r="320" spans="1:8" ht="22.5">
      <c r="A320" s="3">
        <f t="shared" si="4"/>
        <v>318</v>
      </c>
      <c r="B320" s="4" t="s">
        <v>1192</v>
      </c>
      <c r="C320" s="3">
        <v>7710467836</v>
      </c>
      <c r="D320" s="5">
        <f>2784799621.83/(30*1000000)</f>
        <v>92.826654061</v>
      </c>
      <c r="E320" s="5">
        <f>95001604.2/(30*1000000)</f>
        <v>3.1667201400000002</v>
      </c>
      <c r="F320" s="5">
        <f>1603/(30*1000000)</f>
        <v>5.3433333333333336E-05</v>
      </c>
      <c r="G320" s="6">
        <v>38047</v>
      </c>
      <c r="H320" s="6">
        <v>38348</v>
      </c>
    </row>
    <row r="321" spans="1:8" ht="11.25">
      <c r="A321" s="3">
        <f t="shared" si="4"/>
        <v>319</v>
      </c>
      <c r="B321" s="4" t="s">
        <v>180</v>
      </c>
      <c r="C321" s="3">
        <v>7709403926</v>
      </c>
      <c r="D321" s="5">
        <f>2762223508.36/(30*1000000)</f>
        <v>92.07411694533334</v>
      </c>
      <c r="E321" s="5">
        <f>1453504403.74/(30*1000000)</f>
        <v>48.45014679133333</v>
      </c>
      <c r="F321" s="5">
        <f>4000/(30*1000000)</f>
        <v>0.00013333333333333334</v>
      </c>
      <c r="G321" s="6">
        <v>37685</v>
      </c>
      <c r="H321" s="6">
        <v>38351</v>
      </c>
    </row>
    <row r="322" spans="1:8" ht="11.25">
      <c r="A322" s="3">
        <f t="shared" si="4"/>
        <v>320</v>
      </c>
      <c r="B322" s="4" t="s">
        <v>160</v>
      </c>
      <c r="C322" s="3">
        <v>7703356211</v>
      </c>
      <c r="D322" s="5">
        <f>2751796003/(30*1000000)</f>
        <v>91.72653343333333</v>
      </c>
      <c r="E322" s="5">
        <f>2735013290.62/(30*1000000)</f>
        <v>91.16710968733332</v>
      </c>
      <c r="F322" s="5">
        <f>0/(30*1000000)</f>
        <v>0</v>
      </c>
      <c r="G322" s="6">
        <v>37643</v>
      </c>
      <c r="H322" s="6">
        <v>38085</v>
      </c>
    </row>
    <row r="323" spans="1:8" ht="11.25">
      <c r="A323" s="3">
        <f t="shared" si="4"/>
        <v>321</v>
      </c>
      <c r="B323" s="4" t="s">
        <v>384</v>
      </c>
      <c r="C323" s="3">
        <v>7710530164</v>
      </c>
      <c r="D323" s="5">
        <f>2748697519.12/(30*1000000)</f>
        <v>91.62325063733333</v>
      </c>
      <c r="E323" s="5">
        <f>1186208200.82/(30*1000000)</f>
        <v>39.54027336066667</v>
      </c>
      <c r="F323" s="5">
        <f>1541877/(30*1000000)</f>
        <v>0.0513959</v>
      </c>
      <c r="G323" s="6">
        <v>38201</v>
      </c>
      <c r="H323" s="6">
        <v>38352</v>
      </c>
    </row>
    <row r="324" spans="1:8" ht="11.25">
      <c r="A324" s="3">
        <f t="shared" si="4"/>
        <v>322</v>
      </c>
      <c r="B324" s="4" t="s">
        <v>302</v>
      </c>
      <c r="C324" s="3">
        <v>7705508639</v>
      </c>
      <c r="D324" s="5">
        <f>2745561684.64/(30*1000000)</f>
        <v>91.51872282133333</v>
      </c>
      <c r="E324" s="5">
        <f>177231707.9/(30*1000000)</f>
        <v>5.907723596666667</v>
      </c>
      <c r="F324" s="5">
        <f>689906/(30*1000000)</f>
        <v>0.022996866666666668</v>
      </c>
      <c r="G324" s="6">
        <v>37943</v>
      </c>
      <c r="H324" s="6">
        <v>38350</v>
      </c>
    </row>
    <row r="325" spans="1:8" ht="11.25">
      <c r="A325" s="3">
        <f aca="true" t="shared" si="5" ref="A325:A388">1+A324</f>
        <v>323</v>
      </c>
      <c r="B325" s="4" t="s">
        <v>187</v>
      </c>
      <c r="C325" s="3">
        <v>5003047239</v>
      </c>
      <c r="D325" s="5">
        <f>2736692947.61/(30*1000000)</f>
        <v>91.22309825366668</v>
      </c>
      <c r="E325" s="5">
        <f>1874818757.31/(30*1000000)</f>
        <v>62.493958577</v>
      </c>
      <c r="F325" s="5">
        <f>0/(30*1000000)</f>
        <v>0</v>
      </c>
      <c r="G325" s="6">
        <v>38215</v>
      </c>
      <c r="H325" s="6">
        <v>38329</v>
      </c>
    </row>
    <row r="326" spans="1:8" ht="11.25">
      <c r="A326" s="3">
        <f t="shared" si="5"/>
        <v>324</v>
      </c>
      <c r="B326" s="4" t="s">
        <v>678</v>
      </c>
      <c r="C326" s="3">
        <v>7715283102</v>
      </c>
      <c r="D326" s="5">
        <f>2727453275.79/(30*1000000)</f>
        <v>90.91510919299999</v>
      </c>
      <c r="E326" s="5">
        <f>570903584.53/(30*1000000)</f>
        <v>19.030119484333333</v>
      </c>
      <c r="F326" s="5">
        <f>375137/(30*1000000)</f>
        <v>0.012504566666666666</v>
      </c>
      <c r="G326" s="6">
        <v>37625</v>
      </c>
      <c r="H326" s="6">
        <v>38352</v>
      </c>
    </row>
    <row r="327" spans="1:8" ht="22.5">
      <c r="A327" s="3">
        <f t="shared" si="5"/>
        <v>325</v>
      </c>
      <c r="B327" s="4" t="s">
        <v>1357</v>
      </c>
      <c r="C327" s="3">
        <v>7708227611</v>
      </c>
      <c r="D327" s="5">
        <f>2725810721.87/(30*1000000)</f>
        <v>90.86035739566667</v>
      </c>
      <c r="E327" s="5">
        <f>1707563160.13/(30*1000000)</f>
        <v>56.918772004333334</v>
      </c>
      <c r="F327" s="5">
        <f>3159/(30*1000000)</f>
        <v>0.0001053</v>
      </c>
      <c r="G327" s="6">
        <v>37951</v>
      </c>
      <c r="H327" s="6">
        <v>38350</v>
      </c>
    </row>
    <row r="328" spans="1:8" ht="34.5">
      <c r="A328" s="3">
        <f t="shared" si="5"/>
        <v>326</v>
      </c>
      <c r="B328" s="4" t="s">
        <v>1335</v>
      </c>
      <c r="C328" s="3">
        <v>7713310632</v>
      </c>
      <c r="D328" s="5">
        <f>2724805709.62/(30*1000000)</f>
        <v>90.82685698733333</v>
      </c>
      <c r="E328" s="5">
        <f>2305227615.43/(30*1000000)</f>
        <v>76.84092051433333</v>
      </c>
      <c r="F328" s="5">
        <f>191691/(30*1000000)</f>
        <v>0.0063897</v>
      </c>
      <c r="G328" s="6">
        <v>37625</v>
      </c>
      <c r="H328" s="6">
        <v>38296</v>
      </c>
    </row>
    <row r="329" spans="1:8" ht="11.25">
      <c r="A329" s="3">
        <f t="shared" si="5"/>
        <v>327</v>
      </c>
      <c r="B329" s="4" t="s">
        <v>152</v>
      </c>
      <c r="C329" s="3">
        <v>7702289876</v>
      </c>
      <c r="D329" s="5">
        <f>2721109356.12/(30*1000000)</f>
        <v>90.703645204</v>
      </c>
      <c r="E329" s="5">
        <f>2394773523.54/(30*1000000)</f>
        <v>79.825784118</v>
      </c>
      <c r="F329" s="5">
        <f>282947/(30*1000000)</f>
        <v>0.009431566666666667</v>
      </c>
      <c r="G329" s="6">
        <v>37630</v>
      </c>
      <c r="H329" s="6">
        <v>38348</v>
      </c>
    </row>
    <row r="330" spans="1:8" ht="11.25">
      <c r="A330" s="3">
        <f t="shared" si="5"/>
        <v>328</v>
      </c>
      <c r="B330" s="4" t="s">
        <v>397</v>
      </c>
      <c r="C330" s="3">
        <v>7708208898</v>
      </c>
      <c r="D330" s="5">
        <f>2720595175.63/(30*1000000)</f>
        <v>90.68650585433333</v>
      </c>
      <c r="E330" s="5">
        <f>42939909/(30*1000000)</f>
        <v>1.4313303</v>
      </c>
      <c r="F330" s="5">
        <f>909/(30*1000000)</f>
        <v>3.03E-05</v>
      </c>
      <c r="G330" s="6">
        <v>37650</v>
      </c>
      <c r="H330" s="6">
        <v>38100</v>
      </c>
    </row>
    <row r="331" spans="1:8" ht="11.25">
      <c r="A331" s="3">
        <f t="shared" si="5"/>
        <v>329</v>
      </c>
      <c r="B331" s="4" t="s">
        <v>185</v>
      </c>
      <c r="C331" s="3">
        <v>7701301023</v>
      </c>
      <c r="D331" s="5">
        <f>2719821708.18/(30*1000000)</f>
        <v>90.66072360599999</v>
      </c>
      <c r="E331" s="5">
        <f>2069223814.5/(30*1000000)</f>
        <v>68.97412715</v>
      </c>
      <c r="F331" s="5">
        <f>406890/(30*1000000)</f>
        <v>0.013563</v>
      </c>
      <c r="G331" s="6">
        <v>37625</v>
      </c>
      <c r="H331" s="6">
        <v>38300</v>
      </c>
    </row>
    <row r="332" spans="1:8" ht="11.25">
      <c r="A332" s="3">
        <f t="shared" si="5"/>
        <v>330</v>
      </c>
      <c r="B332" s="4" t="s">
        <v>1344</v>
      </c>
      <c r="C332" s="3">
        <v>7715324285</v>
      </c>
      <c r="D332" s="5">
        <f>2718261620.22/(30*1000000)</f>
        <v>90.608720674</v>
      </c>
      <c r="E332" s="5">
        <f>2508893912.52/(30*1000000)</f>
        <v>83.629797084</v>
      </c>
      <c r="F332" s="5">
        <f>1876/(30*1000000)</f>
        <v>6.253333333333334E-05</v>
      </c>
      <c r="G332" s="6">
        <v>37685</v>
      </c>
      <c r="H332" s="6">
        <v>38156</v>
      </c>
    </row>
    <row r="333" spans="1:8" ht="11.25">
      <c r="A333" s="3">
        <f t="shared" si="5"/>
        <v>331</v>
      </c>
      <c r="B333" s="4" t="s">
        <v>222</v>
      </c>
      <c r="C333" s="3">
        <v>7807048660</v>
      </c>
      <c r="D333" s="5">
        <f>2712947014.58/(30*1000000)</f>
        <v>90.43156715266666</v>
      </c>
      <c r="E333" s="5">
        <f>1047503770.66/(30*1000000)</f>
        <v>34.916792355333335</v>
      </c>
      <c r="F333" s="5">
        <f>966768/(30*1000000)</f>
        <v>0.0322256</v>
      </c>
      <c r="G333" s="6">
        <v>37691</v>
      </c>
      <c r="H333" s="6">
        <v>38351</v>
      </c>
    </row>
    <row r="334" spans="1:8" ht="11.25">
      <c r="A334" s="3">
        <f t="shared" si="5"/>
        <v>332</v>
      </c>
      <c r="B334" s="4" t="s">
        <v>671</v>
      </c>
      <c r="C334" s="3">
        <v>7709378081</v>
      </c>
      <c r="D334" s="5">
        <f>2692969159.12/(30*1000000)</f>
        <v>89.76563863733332</v>
      </c>
      <c r="E334" s="5">
        <f>1338698495.9/(30*1000000)</f>
        <v>44.62328319666667</v>
      </c>
      <c r="F334" s="5">
        <f>289782/(30*1000000)</f>
        <v>0.0096594</v>
      </c>
      <c r="G334" s="6">
        <v>37629</v>
      </c>
      <c r="H334" s="6">
        <v>38351</v>
      </c>
    </row>
    <row r="335" spans="1:8" ht="11.25">
      <c r="A335" s="3">
        <f t="shared" si="5"/>
        <v>333</v>
      </c>
      <c r="B335" s="4" t="s">
        <v>373</v>
      </c>
      <c r="C335" s="3">
        <v>7718251211</v>
      </c>
      <c r="D335" s="5">
        <f>2690260654.12/(30*1000000)</f>
        <v>89.67535513733333</v>
      </c>
      <c r="E335" s="5">
        <f>788677490.55/(30*1000000)</f>
        <v>26.289249684999998</v>
      </c>
      <c r="F335" s="5">
        <f>1098820/(30*1000000)</f>
        <v>0.03662733333333333</v>
      </c>
      <c r="G335" s="6">
        <v>38005</v>
      </c>
      <c r="H335" s="6">
        <v>38351</v>
      </c>
    </row>
    <row r="336" spans="1:8" ht="11.25">
      <c r="A336" s="3">
        <f t="shared" si="5"/>
        <v>334</v>
      </c>
      <c r="B336" s="4" t="s">
        <v>353</v>
      </c>
      <c r="C336" s="3">
        <v>7706290752</v>
      </c>
      <c r="D336" s="5">
        <f>2685387289.12/(30*1000000)</f>
        <v>89.51290963733332</v>
      </c>
      <c r="E336" s="5">
        <f>202437697.39/(30*1000000)</f>
        <v>6.7479232463333325</v>
      </c>
      <c r="F336" s="5">
        <f>5641/(30*1000000)</f>
        <v>0.00018803333333333334</v>
      </c>
      <c r="G336" s="6">
        <v>37791</v>
      </c>
      <c r="H336" s="6">
        <v>38212</v>
      </c>
    </row>
    <row r="337" spans="1:8" ht="11.25">
      <c r="A337" s="3">
        <f t="shared" si="5"/>
        <v>335</v>
      </c>
      <c r="B337" s="4" t="s">
        <v>225</v>
      </c>
      <c r="C337" s="3">
        <v>3666106196</v>
      </c>
      <c r="D337" s="5">
        <f>2676508494.81/(30*1000000)</f>
        <v>89.216949827</v>
      </c>
      <c r="E337" s="5">
        <f>91474905.93/(30*1000000)</f>
        <v>3.049163531</v>
      </c>
      <c r="F337" s="5">
        <f>0/(30*1000000)</f>
        <v>0</v>
      </c>
      <c r="G337" s="6">
        <v>37907</v>
      </c>
      <c r="H337" s="6">
        <v>38351</v>
      </c>
    </row>
    <row r="338" spans="1:8" ht="11.25">
      <c r="A338" s="3">
        <f t="shared" si="5"/>
        <v>336</v>
      </c>
      <c r="B338" s="4" t="s">
        <v>1304</v>
      </c>
      <c r="C338" s="3">
        <v>7736235237</v>
      </c>
      <c r="D338" s="5">
        <f>2673261274.32/(30*1000000)</f>
        <v>89.108709144</v>
      </c>
      <c r="E338" s="5">
        <f>2047669402.88/(30*1000000)</f>
        <v>68.25564676266667</v>
      </c>
      <c r="F338" s="5">
        <f>50/(30*1000000)</f>
        <v>1.6666666666666667E-06</v>
      </c>
      <c r="G338" s="6">
        <v>37895</v>
      </c>
      <c r="H338" s="6">
        <v>38016</v>
      </c>
    </row>
    <row r="339" spans="1:8" ht="11.25">
      <c r="A339" s="3">
        <f t="shared" si="5"/>
        <v>337</v>
      </c>
      <c r="B339" s="4" t="s">
        <v>637</v>
      </c>
      <c r="C339" s="3">
        <v>7725197815</v>
      </c>
      <c r="D339" s="5">
        <f>2669015745.02/(30*1000000)</f>
        <v>88.96719150066667</v>
      </c>
      <c r="E339" s="5">
        <f>137460808.01/(30*1000000)</f>
        <v>4.582026933666667</v>
      </c>
      <c r="F339" s="5">
        <f>3920/(30*1000000)</f>
        <v>0.00013066666666666665</v>
      </c>
      <c r="G339" s="6">
        <v>37825</v>
      </c>
      <c r="H339" s="6">
        <v>38035</v>
      </c>
    </row>
    <row r="340" spans="1:8" ht="11.25">
      <c r="A340" s="3">
        <f t="shared" si="5"/>
        <v>338</v>
      </c>
      <c r="B340" s="4" t="s">
        <v>168</v>
      </c>
      <c r="C340" s="3">
        <v>7705592790</v>
      </c>
      <c r="D340" s="5">
        <f>2667932762.77/(30*1000000)</f>
        <v>88.93109209233333</v>
      </c>
      <c r="E340" s="5">
        <f>1890422564.83/(30*1000000)</f>
        <v>63.01408549433333</v>
      </c>
      <c r="F340" s="5">
        <f>1113/(30*1000000)</f>
        <v>3.71E-05</v>
      </c>
      <c r="G340" s="6">
        <v>38251</v>
      </c>
      <c r="H340" s="6">
        <v>38352</v>
      </c>
    </row>
    <row r="341" spans="1:8" ht="11.25">
      <c r="A341" s="3">
        <f t="shared" si="5"/>
        <v>339</v>
      </c>
      <c r="B341" s="4" t="s">
        <v>561</v>
      </c>
      <c r="C341" s="3">
        <v>7714511187</v>
      </c>
      <c r="D341" s="5">
        <f>2667607369.99/(30*1000000)</f>
        <v>88.92024566633333</v>
      </c>
      <c r="E341" s="5">
        <f>61915768.65/(30*1000000)</f>
        <v>2.063858955</v>
      </c>
      <c r="F341" s="5">
        <f>378/(30*1000000)</f>
        <v>1.26E-05</v>
      </c>
      <c r="G341" s="6">
        <v>38020</v>
      </c>
      <c r="H341" s="6">
        <v>38275</v>
      </c>
    </row>
    <row r="342" spans="1:8" ht="11.25">
      <c r="A342" s="3">
        <f t="shared" si="5"/>
        <v>340</v>
      </c>
      <c r="B342" s="4" t="s">
        <v>261</v>
      </c>
      <c r="C342" s="3">
        <v>7703330630</v>
      </c>
      <c r="D342" s="5">
        <f>2663065354.92/(30*1000000)</f>
        <v>88.768845164</v>
      </c>
      <c r="E342" s="5">
        <f>1831/(30*1000000)</f>
        <v>6.103333333333333E-05</v>
      </c>
      <c r="F342" s="5">
        <f>1831/(30*1000000)</f>
        <v>6.103333333333333E-05</v>
      </c>
      <c r="G342" s="6">
        <v>37636</v>
      </c>
      <c r="H342" s="6">
        <v>38292</v>
      </c>
    </row>
    <row r="343" spans="1:8" ht="11.25">
      <c r="A343" s="3">
        <f t="shared" si="5"/>
        <v>341</v>
      </c>
      <c r="B343" s="4" t="s">
        <v>1193</v>
      </c>
      <c r="C343" s="3">
        <v>7710440760</v>
      </c>
      <c r="D343" s="5">
        <f>2661303812.67/(30*1000000)</f>
        <v>88.710127089</v>
      </c>
      <c r="E343" s="5">
        <f>445900109.74/(30*1000000)</f>
        <v>14.863336991333334</v>
      </c>
      <c r="F343" s="5">
        <f>1774729/(30*1000000)</f>
        <v>0.059157633333333334</v>
      </c>
      <c r="G343" s="6">
        <v>37642</v>
      </c>
      <c r="H343" s="6">
        <v>38035</v>
      </c>
    </row>
    <row r="344" spans="1:8" ht="22.5">
      <c r="A344" s="3">
        <f t="shared" si="5"/>
        <v>342</v>
      </c>
      <c r="B344" s="4" t="s">
        <v>404</v>
      </c>
      <c r="C344" s="3">
        <v>7708506622</v>
      </c>
      <c r="D344" s="5">
        <f>2652673414.21/(30*1000000)</f>
        <v>88.42244714033333</v>
      </c>
      <c r="E344" s="5">
        <f>1161898977.08/(30*1000000)</f>
        <v>38.72996590266666</v>
      </c>
      <c r="F344" s="5">
        <f>596190/(30*1000000)</f>
        <v>0.019873</v>
      </c>
      <c r="G344" s="6">
        <v>38078</v>
      </c>
      <c r="H344" s="6">
        <v>38351</v>
      </c>
    </row>
    <row r="345" spans="1:8" ht="11.25">
      <c r="A345" s="3">
        <f t="shared" si="5"/>
        <v>343</v>
      </c>
      <c r="B345" s="4" t="s">
        <v>589</v>
      </c>
      <c r="C345" s="3">
        <v>7719266235</v>
      </c>
      <c r="D345" s="5">
        <f>2648764318.71/(30*1000000)</f>
        <v>88.29214395700001</v>
      </c>
      <c r="E345" s="5">
        <f>31778303.36/(30*1000000)</f>
        <v>1.0592767786666666</v>
      </c>
      <c r="F345" s="5">
        <f>9704/(30*1000000)</f>
        <v>0.00032346666666666665</v>
      </c>
      <c r="G345" s="6">
        <v>37824</v>
      </c>
      <c r="H345" s="6">
        <v>38029</v>
      </c>
    </row>
    <row r="346" spans="1:8" ht="11.25">
      <c r="A346" s="3">
        <f t="shared" si="5"/>
        <v>344</v>
      </c>
      <c r="B346" s="4" t="s">
        <v>625</v>
      </c>
      <c r="C346" s="3">
        <v>7733502910</v>
      </c>
      <c r="D346" s="5">
        <f>2647157903.75/(30*1000000)</f>
        <v>88.23859679166667</v>
      </c>
      <c r="E346" s="5">
        <f>485412353.03/(30*1000000)</f>
        <v>16.180411767666666</v>
      </c>
      <c r="F346" s="5">
        <f>771648/(30*1000000)</f>
        <v>0.0257216</v>
      </c>
      <c r="G346" s="6">
        <v>38005</v>
      </c>
      <c r="H346" s="6">
        <v>38345</v>
      </c>
    </row>
    <row r="347" spans="1:8" ht="11.25">
      <c r="A347" s="3">
        <f t="shared" si="5"/>
        <v>345</v>
      </c>
      <c r="B347" s="4" t="s">
        <v>604</v>
      </c>
      <c r="C347" s="3">
        <v>7716502188</v>
      </c>
      <c r="D347" s="5">
        <f>2646284570.02/(30*1000000)</f>
        <v>88.20948566733334</v>
      </c>
      <c r="E347" s="5">
        <f>657847110.41/(30*1000000)</f>
        <v>21.928237013666667</v>
      </c>
      <c r="F347" s="5">
        <f>507665/(30*1000000)</f>
        <v>0.016922166666666665</v>
      </c>
      <c r="G347" s="6">
        <v>38135</v>
      </c>
      <c r="H347" s="6">
        <v>38352</v>
      </c>
    </row>
    <row r="348" spans="1:8" ht="11.25">
      <c r="A348" s="3">
        <f t="shared" si="5"/>
        <v>346</v>
      </c>
      <c r="B348" s="4" t="s">
        <v>611</v>
      </c>
      <c r="C348" s="3">
        <v>7718215750</v>
      </c>
      <c r="D348" s="5">
        <f>2644686050/(30*1000000)</f>
        <v>88.15620166666666</v>
      </c>
      <c r="E348" s="5">
        <f>7710/(30*1000000)</f>
        <v>0.000257</v>
      </c>
      <c r="F348" s="5">
        <f>7710/(30*1000000)</f>
        <v>0.000257</v>
      </c>
      <c r="G348" s="6">
        <v>37876</v>
      </c>
      <c r="H348" s="6">
        <v>38350</v>
      </c>
    </row>
    <row r="349" spans="1:8" ht="11.25">
      <c r="A349" s="3">
        <f t="shared" si="5"/>
        <v>347</v>
      </c>
      <c r="B349" s="4" t="s">
        <v>197</v>
      </c>
      <c r="C349" s="3">
        <v>3525111926</v>
      </c>
      <c r="D349" s="5">
        <f>2634210278.39/(30*1000000)</f>
        <v>87.80700927966666</v>
      </c>
      <c r="E349" s="5">
        <f>2544766103.99/(30*1000000)</f>
        <v>84.82553679966666</v>
      </c>
      <c r="F349" s="5">
        <f>52109/(30*1000000)</f>
        <v>0.0017369666666666667</v>
      </c>
      <c r="G349" s="6">
        <v>37629</v>
      </c>
      <c r="H349" s="6">
        <v>38350</v>
      </c>
    </row>
    <row r="350" spans="1:8" ht="11.25">
      <c r="A350" s="3">
        <f t="shared" si="5"/>
        <v>348</v>
      </c>
      <c r="B350" s="4" t="s">
        <v>200</v>
      </c>
      <c r="C350" s="3">
        <v>814144234</v>
      </c>
      <c r="D350" s="5">
        <f>2630294464.32/(30*1000000)</f>
        <v>87.676482144</v>
      </c>
      <c r="E350" s="5">
        <f>889739627.58/(30*1000000)</f>
        <v>29.657987586</v>
      </c>
      <c r="F350" s="5">
        <f>41224/(30*1000000)</f>
        <v>0.0013741333333333334</v>
      </c>
      <c r="G350" s="6">
        <v>37626</v>
      </c>
      <c r="H350" s="6">
        <v>38338</v>
      </c>
    </row>
    <row r="351" spans="1:8" ht="11.25">
      <c r="A351" s="3">
        <f t="shared" si="5"/>
        <v>349</v>
      </c>
      <c r="B351" s="4" t="s">
        <v>681</v>
      </c>
      <c r="C351" s="3">
        <v>7718236100</v>
      </c>
      <c r="D351" s="5">
        <f>2628257470.3/(30*1000000)</f>
        <v>87.60858234333334</v>
      </c>
      <c r="E351" s="5">
        <f>1014201773.2/(30*1000000)</f>
        <v>33.80672577333333</v>
      </c>
      <c r="F351" s="5">
        <f>869121/(30*1000000)</f>
        <v>0.0289707</v>
      </c>
      <c r="G351" s="6">
        <v>37775</v>
      </c>
      <c r="H351" s="6">
        <v>38275</v>
      </c>
    </row>
    <row r="352" spans="1:8" ht="11.25">
      <c r="A352" s="3">
        <f t="shared" si="5"/>
        <v>350</v>
      </c>
      <c r="B352" s="4" t="s">
        <v>285</v>
      </c>
      <c r="C352" s="3">
        <v>7702359690</v>
      </c>
      <c r="D352" s="5">
        <f>2625834422.78/(30*1000000)</f>
        <v>87.52781409266667</v>
      </c>
      <c r="E352" s="5">
        <f>177000000/(30*1000000)</f>
        <v>5.9</v>
      </c>
      <c r="F352" s="5">
        <f>0/(30*1000000)</f>
        <v>0</v>
      </c>
      <c r="G352" s="6">
        <v>38036</v>
      </c>
      <c r="H352" s="6">
        <v>38224</v>
      </c>
    </row>
    <row r="353" spans="1:8" ht="11.25">
      <c r="A353" s="3">
        <f t="shared" si="5"/>
        <v>351</v>
      </c>
      <c r="B353" s="4" t="s">
        <v>403</v>
      </c>
      <c r="C353" s="3">
        <v>7708506020</v>
      </c>
      <c r="D353" s="5">
        <f>2613862285.95/(30*1000000)</f>
        <v>87.12874286499999</v>
      </c>
      <c r="E353" s="5">
        <f>906226115.42/(30*1000000)</f>
        <v>30.207537180666666</v>
      </c>
      <c r="F353" s="5">
        <f>393588/(30*1000000)</f>
        <v>0.0131196</v>
      </c>
      <c r="G353" s="6">
        <v>38068</v>
      </c>
      <c r="H353" s="6">
        <v>38352</v>
      </c>
    </row>
    <row r="354" spans="1:8" ht="11.25">
      <c r="A354" s="3">
        <f t="shared" si="5"/>
        <v>352</v>
      </c>
      <c r="B354" s="4" t="s">
        <v>1320</v>
      </c>
      <c r="C354" s="3">
        <v>7723500618</v>
      </c>
      <c r="D354" s="5">
        <f>2609142029.43/(30*1000000)</f>
        <v>86.97140098099999</v>
      </c>
      <c r="E354" s="5">
        <f>2339818503.39/(30*1000000)</f>
        <v>77.993950113</v>
      </c>
      <c r="F354" s="5">
        <f>92300/(30*1000000)</f>
        <v>0.003076666666666667</v>
      </c>
      <c r="G354" s="6">
        <v>38091</v>
      </c>
      <c r="H354" s="6">
        <v>38352</v>
      </c>
    </row>
    <row r="355" spans="1:8" ht="22.5">
      <c r="A355" s="3">
        <f t="shared" si="5"/>
        <v>353</v>
      </c>
      <c r="B355" s="4" t="s">
        <v>414</v>
      </c>
      <c r="C355" s="3">
        <v>7705586027</v>
      </c>
      <c r="D355" s="5">
        <f>2608914318/(30*1000000)</f>
        <v>86.9638106</v>
      </c>
      <c r="E355" s="5">
        <f>336500815.9/(30*1000000)</f>
        <v>11.216693863333333</v>
      </c>
      <c r="F355" s="5">
        <f>816/(30*1000000)</f>
        <v>2.72E-05</v>
      </c>
      <c r="G355" s="6">
        <v>38259</v>
      </c>
      <c r="H355" s="6">
        <v>38352</v>
      </c>
    </row>
    <row r="356" spans="1:8" ht="11.25">
      <c r="A356" s="3">
        <f t="shared" si="5"/>
        <v>354</v>
      </c>
      <c r="B356" s="4" t="s">
        <v>169</v>
      </c>
      <c r="C356" s="3">
        <v>7705454239</v>
      </c>
      <c r="D356" s="5">
        <f>2585723380.08/(30*1000000)</f>
        <v>86.19077933599999</v>
      </c>
      <c r="E356" s="5">
        <f>2084797504.71/(30*1000000)</f>
        <v>69.493250157</v>
      </c>
      <c r="F356" s="5">
        <f>0/(30*1000000)</f>
        <v>0</v>
      </c>
      <c r="G356" s="6">
        <v>37631</v>
      </c>
      <c r="H356" s="6">
        <v>38203</v>
      </c>
    </row>
    <row r="357" spans="1:8" ht="11.25">
      <c r="A357" s="3">
        <f t="shared" si="5"/>
        <v>355</v>
      </c>
      <c r="B357" s="4" t="s">
        <v>618</v>
      </c>
      <c r="C357" s="3">
        <v>7727235618</v>
      </c>
      <c r="D357" s="5">
        <f>2582786843.89/(30*1000000)</f>
        <v>86.09289479633333</v>
      </c>
      <c r="E357" s="5">
        <f>28438589.04/(30*1000000)</f>
        <v>0.947952968</v>
      </c>
      <c r="F357" s="5">
        <f>163/(30*1000000)</f>
        <v>5.4333333333333335E-06</v>
      </c>
      <c r="G357" s="6">
        <v>37791</v>
      </c>
      <c r="H357" s="6">
        <v>38348</v>
      </c>
    </row>
    <row r="358" spans="1:8" ht="11.25">
      <c r="A358" s="3">
        <f t="shared" si="5"/>
        <v>356</v>
      </c>
      <c r="B358" s="4" t="s">
        <v>341</v>
      </c>
      <c r="C358" s="3">
        <v>7703366210</v>
      </c>
      <c r="D358" s="5">
        <f>2580417959.8/(30*1000000)</f>
        <v>86.01393199333334</v>
      </c>
      <c r="E358" s="5">
        <f>1038273041.1/(30*1000000)</f>
        <v>34.60910137</v>
      </c>
      <c r="F358" s="5">
        <f>13488/(30*1000000)</f>
        <v>0.0004496</v>
      </c>
      <c r="G358" s="6">
        <v>37783</v>
      </c>
      <c r="H358" s="6">
        <v>38231</v>
      </c>
    </row>
    <row r="359" spans="1:8" ht="22.5">
      <c r="A359" s="3">
        <f t="shared" si="5"/>
        <v>357</v>
      </c>
      <c r="B359" s="4" t="s">
        <v>1194</v>
      </c>
      <c r="C359" s="3">
        <v>7736234794</v>
      </c>
      <c r="D359" s="5">
        <f>2571673534.02/(30*1000000)</f>
        <v>85.722451134</v>
      </c>
      <c r="E359" s="5">
        <f>633.4/(30*1000000)</f>
        <v>2.1113333333333333E-05</v>
      </c>
      <c r="F359" s="5">
        <f>633/(30*1000000)</f>
        <v>2.11E-05</v>
      </c>
      <c r="G359" s="6">
        <v>38061</v>
      </c>
      <c r="H359" s="6">
        <v>38351</v>
      </c>
    </row>
    <row r="360" spans="1:8" ht="45.75">
      <c r="A360" s="3">
        <f t="shared" si="5"/>
        <v>358</v>
      </c>
      <c r="B360" s="4" t="s">
        <v>239</v>
      </c>
      <c r="C360" s="3">
        <v>5256004797</v>
      </c>
      <c r="D360" s="5">
        <f>2568852544.27/(30*1000000)</f>
        <v>85.62841814233333</v>
      </c>
      <c r="E360" s="5">
        <f>22000000.63/(30*1000000)</f>
        <v>0.7333333543333334</v>
      </c>
      <c r="F360" s="5">
        <f>0/(30*1000000)</f>
        <v>0</v>
      </c>
      <c r="G360" s="6">
        <v>37930</v>
      </c>
      <c r="H360" s="6">
        <v>38348</v>
      </c>
    </row>
    <row r="361" spans="1:8" ht="11.25">
      <c r="A361" s="3">
        <f t="shared" si="5"/>
        <v>359</v>
      </c>
      <c r="B361" s="4" t="s">
        <v>424</v>
      </c>
      <c r="C361" s="3">
        <v>7714271217</v>
      </c>
      <c r="D361" s="5">
        <f>2565542708.15/(30*1000000)</f>
        <v>85.51809027166667</v>
      </c>
      <c r="E361" s="5">
        <f>213617817.83/(30*1000000)</f>
        <v>7.120593927666667</v>
      </c>
      <c r="F361" s="5">
        <f>100125/(30*1000000)</f>
        <v>0.0033375</v>
      </c>
      <c r="G361" s="6">
        <v>37625</v>
      </c>
      <c r="H361" s="6">
        <v>37970</v>
      </c>
    </row>
    <row r="362" spans="1:8" ht="11.25">
      <c r="A362" s="3">
        <f t="shared" si="5"/>
        <v>360</v>
      </c>
      <c r="B362" s="4" t="s">
        <v>601</v>
      </c>
      <c r="C362" s="3">
        <v>7722294521</v>
      </c>
      <c r="D362" s="5">
        <f>2559711410.18/(30*1000000)</f>
        <v>85.32371367266666</v>
      </c>
      <c r="E362" s="5">
        <f>48334929.13/(30*1000000)</f>
        <v>1.6111643043333335</v>
      </c>
      <c r="F362" s="5">
        <f>4239/(30*1000000)</f>
        <v>0.0001413</v>
      </c>
      <c r="G362" s="6">
        <v>38097</v>
      </c>
      <c r="H362" s="6">
        <v>38274</v>
      </c>
    </row>
    <row r="363" spans="1:8" ht="22.5">
      <c r="A363" s="3">
        <f t="shared" si="5"/>
        <v>361</v>
      </c>
      <c r="B363" s="4" t="s">
        <v>1279</v>
      </c>
      <c r="C363" s="3">
        <v>7724508610</v>
      </c>
      <c r="D363" s="5">
        <f>2559691818.47/(30*1000000)</f>
        <v>85.32306061566666</v>
      </c>
      <c r="E363" s="5">
        <f>2538553840.55/(30*1000000)</f>
        <v>84.61846135166667</v>
      </c>
      <c r="F363" s="5">
        <f>947/(30*1000000)</f>
        <v>3.1566666666666664E-05</v>
      </c>
      <c r="G363" s="6">
        <v>38218</v>
      </c>
      <c r="H363" s="6">
        <v>38352</v>
      </c>
    </row>
    <row r="364" spans="1:8" ht="22.5">
      <c r="A364" s="3">
        <f t="shared" si="5"/>
        <v>362</v>
      </c>
      <c r="B364" s="4" t="s">
        <v>279</v>
      </c>
      <c r="C364" s="3">
        <v>7705471033</v>
      </c>
      <c r="D364" s="5">
        <f>2559493872.75/(30*1000000)</f>
        <v>85.316462425</v>
      </c>
      <c r="E364" s="5">
        <f>385467098.01/(30*1000000)</f>
        <v>12.848903266999999</v>
      </c>
      <c r="F364" s="5">
        <f>1126266/(30*1000000)</f>
        <v>0.0375422</v>
      </c>
      <c r="G364" s="6">
        <v>37665</v>
      </c>
      <c r="H364" s="6">
        <v>38349</v>
      </c>
    </row>
    <row r="365" spans="1:8" ht="11.25">
      <c r="A365" s="3">
        <f t="shared" si="5"/>
        <v>363</v>
      </c>
      <c r="B365" s="4" t="s">
        <v>310</v>
      </c>
      <c r="C365" s="3">
        <v>7703337120</v>
      </c>
      <c r="D365" s="5">
        <f>2551271358.35/(30*1000000)</f>
        <v>85.04237861166666</v>
      </c>
      <c r="E365" s="5">
        <f>182834737.36/(30*1000000)</f>
        <v>6.094491245333334</v>
      </c>
      <c r="F365" s="5">
        <f>3237/(30*1000000)</f>
        <v>0.0001079</v>
      </c>
      <c r="G365" s="6">
        <v>37741</v>
      </c>
      <c r="H365" s="6">
        <v>38351</v>
      </c>
    </row>
    <row r="366" spans="1:8" ht="11.25">
      <c r="A366" s="3">
        <f t="shared" si="5"/>
        <v>364</v>
      </c>
      <c r="B366" s="4" t="s">
        <v>608</v>
      </c>
      <c r="C366" s="3">
        <v>7718187100</v>
      </c>
      <c r="D366" s="5">
        <f>2547957325.52/(30*1000000)</f>
        <v>84.93191085066667</v>
      </c>
      <c r="E366" s="5">
        <f>521617493.32/(30*1000000)</f>
        <v>17.387249777333334</v>
      </c>
      <c r="F366" s="5">
        <f>0/(30*1000000)</f>
        <v>0</v>
      </c>
      <c r="G366" s="6">
        <v>37643</v>
      </c>
      <c r="H366" s="6">
        <v>38349</v>
      </c>
    </row>
    <row r="367" spans="1:8" ht="22.5">
      <c r="A367" s="3">
        <f t="shared" si="5"/>
        <v>365</v>
      </c>
      <c r="B367" s="4" t="s">
        <v>1255</v>
      </c>
      <c r="C367" s="3">
        <v>7714215124</v>
      </c>
      <c r="D367" s="5">
        <f>2541865267.47/(30*1000000)</f>
        <v>84.728842249</v>
      </c>
      <c r="E367" s="5">
        <f>2014841665.36/(30*1000000)</f>
        <v>67.16138884533333</v>
      </c>
      <c r="F367" s="5">
        <f>0/(30*1000000)</f>
        <v>0</v>
      </c>
      <c r="G367" s="6">
        <v>37626</v>
      </c>
      <c r="H367" s="6">
        <v>37909</v>
      </c>
    </row>
    <row r="368" spans="1:8" ht="11.25">
      <c r="A368" s="3">
        <f t="shared" si="5"/>
        <v>366</v>
      </c>
      <c r="B368" s="4" t="s">
        <v>1256</v>
      </c>
      <c r="C368" s="3">
        <v>5401195363</v>
      </c>
      <c r="D368" s="5">
        <f>2540706495.24/(30*1000000)</f>
        <v>84.69021650799999</v>
      </c>
      <c r="E368" s="5">
        <f>1908013961.74/(30*1000000)</f>
        <v>63.60046539133334</v>
      </c>
      <c r="F368" s="5">
        <f>34959/(30*1000000)</f>
        <v>0.0011653</v>
      </c>
      <c r="G368" s="6">
        <v>37769</v>
      </c>
      <c r="H368" s="6">
        <v>38288</v>
      </c>
    </row>
    <row r="369" spans="1:8" ht="11.25">
      <c r="A369" s="3">
        <f t="shared" si="5"/>
        <v>367</v>
      </c>
      <c r="B369" s="4" t="s">
        <v>270</v>
      </c>
      <c r="C369" s="3">
        <v>7705368597</v>
      </c>
      <c r="D369" s="5">
        <f>2534053902.93/(30*1000000)</f>
        <v>84.46846343099999</v>
      </c>
      <c r="E369" s="5">
        <f>473308762.74/(30*1000000)</f>
        <v>15.776958758000001</v>
      </c>
      <c r="F369" s="5">
        <f>1285840/(30*1000000)</f>
        <v>0.042861333333333335</v>
      </c>
      <c r="G369" s="6">
        <v>37693</v>
      </c>
      <c r="H369" s="6">
        <v>38352</v>
      </c>
    </row>
    <row r="370" spans="1:8" ht="11.25">
      <c r="A370" s="3">
        <f t="shared" si="5"/>
        <v>368</v>
      </c>
      <c r="B370" s="4" t="s">
        <v>153</v>
      </c>
      <c r="C370" s="3">
        <v>7702289940</v>
      </c>
      <c r="D370" s="5">
        <f>2528651833.05/(30*1000000)</f>
        <v>84.288394435</v>
      </c>
      <c r="E370" s="5">
        <f>2290055693.5/(30*1000000)</f>
        <v>76.33518978333333</v>
      </c>
      <c r="F370" s="5">
        <f>227047/(30*1000000)</f>
        <v>0.007568233333333334</v>
      </c>
      <c r="G370" s="6">
        <v>37630</v>
      </c>
      <c r="H370" s="6">
        <v>38352</v>
      </c>
    </row>
    <row r="371" spans="1:8" ht="11.25">
      <c r="A371" s="3">
        <f t="shared" si="5"/>
        <v>369</v>
      </c>
      <c r="B371" s="4" t="s">
        <v>1350</v>
      </c>
      <c r="C371" s="3">
        <v>7706507902</v>
      </c>
      <c r="D371" s="5">
        <f>2521455284.83/(30*1000000)</f>
        <v>84.04850949433333</v>
      </c>
      <c r="E371" s="5">
        <f>2508416950/(30*1000000)</f>
        <v>83.61389833333334</v>
      </c>
      <c r="F371" s="5">
        <f>12250/(30*1000000)</f>
        <v>0.00040833333333333336</v>
      </c>
      <c r="G371" s="6">
        <v>38023</v>
      </c>
      <c r="H371" s="6">
        <v>38351</v>
      </c>
    </row>
    <row r="372" spans="1:8" ht="11.25">
      <c r="A372" s="3">
        <f t="shared" si="5"/>
        <v>370</v>
      </c>
      <c r="B372" s="4" t="s">
        <v>1292</v>
      </c>
      <c r="C372" s="3">
        <v>8602300239</v>
      </c>
      <c r="D372" s="5">
        <f>2516592325.18/(30*1000000)</f>
        <v>83.88641083933332</v>
      </c>
      <c r="E372" s="5">
        <f>1652508460.85/(30*1000000)</f>
        <v>55.083615361666666</v>
      </c>
      <c r="F372" s="5">
        <f>0/(30*1000000)</f>
        <v>0</v>
      </c>
      <c r="G372" s="6">
        <v>38022</v>
      </c>
      <c r="H372" s="6">
        <v>38351</v>
      </c>
    </row>
    <row r="373" spans="1:8" ht="11.25">
      <c r="A373" s="3">
        <f t="shared" si="5"/>
        <v>371</v>
      </c>
      <c r="B373" s="4" t="s">
        <v>223</v>
      </c>
      <c r="C373" s="3">
        <v>7718224095</v>
      </c>
      <c r="D373" s="5">
        <f>2509008826.9/(30*1000000)</f>
        <v>83.63362756333333</v>
      </c>
      <c r="E373" s="5">
        <f>189335062.08/(30*1000000)</f>
        <v>6.311168736000001</v>
      </c>
      <c r="F373" s="5">
        <f>1862882/(30*1000000)</f>
        <v>0.062096066666666665</v>
      </c>
      <c r="G373" s="6">
        <v>37642</v>
      </c>
      <c r="H373" s="6">
        <v>37846</v>
      </c>
    </row>
    <row r="374" spans="1:8" ht="11.25">
      <c r="A374" s="3">
        <f t="shared" si="5"/>
        <v>372</v>
      </c>
      <c r="B374" s="4" t="s">
        <v>1353</v>
      </c>
      <c r="C374" s="3">
        <v>7708182512</v>
      </c>
      <c r="D374" s="5">
        <f>2502137437.4/(30*1000000)</f>
        <v>83.40458124666667</v>
      </c>
      <c r="E374" s="5">
        <f>1968963381.97/(30*1000000)</f>
        <v>65.63211273233334</v>
      </c>
      <c r="F374" s="5">
        <f>4300/(30*1000000)</f>
        <v>0.00014333333333333334</v>
      </c>
      <c r="G374" s="6">
        <v>37625</v>
      </c>
      <c r="H374" s="6">
        <v>38351</v>
      </c>
    </row>
    <row r="375" spans="1:8" ht="11.25">
      <c r="A375" s="3">
        <f t="shared" si="5"/>
        <v>373</v>
      </c>
      <c r="B375" s="4" t="s">
        <v>612</v>
      </c>
      <c r="C375" s="3">
        <v>7718223447</v>
      </c>
      <c r="D375" s="5">
        <f>2482631213.15/(30*1000000)</f>
        <v>82.75437377166666</v>
      </c>
      <c r="E375" s="5">
        <f>455595349.7/(30*1000000)</f>
        <v>15.186511656666667</v>
      </c>
      <c r="F375" s="5">
        <f>1336698/(30*1000000)</f>
        <v>0.0445566</v>
      </c>
      <c r="G375" s="6">
        <v>37740</v>
      </c>
      <c r="H375" s="6">
        <v>38338</v>
      </c>
    </row>
    <row r="376" spans="1:8" ht="11.25">
      <c r="A376" s="3">
        <f t="shared" si="5"/>
        <v>374</v>
      </c>
      <c r="B376" s="4" t="s">
        <v>624</v>
      </c>
      <c r="C376" s="3">
        <v>7804073509</v>
      </c>
      <c r="D376" s="5">
        <f>2477487375.7/(30*1000000)</f>
        <v>82.58291252333332</v>
      </c>
      <c r="E376" s="5">
        <f>76828609.83/(30*1000000)</f>
        <v>2.560953661</v>
      </c>
      <c r="F376" s="5">
        <f>0/(30*1000000)</f>
        <v>0</v>
      </c>
      <c r="G376" s="6">
        <v>37637</v>
      </c>
      <c r="H376" s="6">
        <v>38345</v>
      </c>
    </row>
    <row r="377" spans="1:8" ht="11.25">
      <c r="A377" s="3">
        <f t="shared" si="5"/>
        <v>375</v>
      </c>
      <c r="B377" s="4" t="s">
        <v>237</v>
      </c>
      <c r="C377" s="3">
        <v>7706308167</v>
      </c>
      <c r="D377" s="5">
        <f>2462841027.72/(30*1000000)</f>
        <v>82.094700924</v>
      </c>
      <c r="E377" s="5">
        <f>494128670.71/(30*1000000)</f>
        <v>16.470955690333334</v>
      </c>
      <c r="F377" s="5">
        <f>710562/(30*1000000)</f>
        <v>0.0236854</v>
      </c>
      <c r="G377" s="6">
        <v>37910</v>
      </c>
      <c r="H377" s="6">
        <v>38350</v>
      </c>
    </row>
    <row r="378" spans="1:8" ht="11.25">
      <c r="A378" s="3">
        <f t="shared" si="5"/>
        <v>376</v>
      </c>
      <c r="B378" s="4" t="s">
        <v>553</v>
      </c>
      <c r="C378" s="3">
        <v>7709534037</v>
      </c>
      <c r="D378" s="5">
        <f>2460055299.54/(30*1000000)</f>
        <v>82.001843318</v>
      </c>
      <c r="E378" s="5">
        <f>852243868.37/(30*1000000)</f>
        <v>28.408128945666668</v>
      </c>
      <c r="F378" s="5">
        <f>1288147/(30*1000000)</f>
        <v>0.04293823333333333</v>
      </c>
      <c r="G378" s="6">
        <v>38125</v>
      </c>
      <c r="H378" s="6">
        <v>38352</v>
      </c>
    </row>
    <row r="379" spans="1:8" ht="11.25">
      <c r="A379" s="3">
        <f t="shared" si="5"/>
        <v>377</v>
      </c>
      <c r="B379" s="4" t="s">
        <v>573</v>
      </c>
      <c r="C379" s="3">
        <v>7715319366</v>
      </c>
      <c r="D379" s="5">
        <f>2459911403.96/(30*1000000)</f>
        <v>81.99704679866667</v>
      </c>
      <c r="E379" s="5">
        <f>327196878.11/(30*1000000)</f>
        <v>10.906562603666668</v>
      </c>
      <c r="F379" s="5">
        <f>2263/(30*1000000)</f>
        <v>7.543333333333333E-05</v>
      </c>
      <c r="G379" s="6">
        <v>37625</v>
      </c>
      <c r="H379" s="6">
        <v>37942</v>
      </c>
    </row>
    <row r="380" spans="1:8" ht="11.25">
      <c r="A380" s="3">
        <f t="shared" si="5"/>
        <v>378</v>
      </c>
      <c r="B380" s="4" t="s">
        <v>665</v>
      </c>
      <c r="C380" s="3">
        <v>7705503486</v>
      </c>
      <c r="D380" s="5">
        <f>2443452812.37/(30*1000000)</f>
        <v>81.448427079</v>
      </c>
      <c r="E380" s="5">
        <f>1130087481.18/(30*1000000)</f>
        <v>37.669582706</v>
      </c>
      <c r="F380" s="5">
        <f>598357/(30*1000000)</f>
        <v>0.019945233333333333</v>
      </c>
      <c r="G380" s="6">
        <v>37902</v>
      </c>
      <c r="H380" s="6">
        <v>38349</v>
      </c>
    </row>
    <row r="381" spans="1:8" ht="11.25">
      <c r="A381" s="3">
        <f t="shared" si="5"/>
        <v>379</v>
      </c>
      <c r="B381" s="4" t="s">
        <v>545</v>
      </c>
      <c r="C381" s="3">
        <v>7714300891</v>
      </c>
      <c r="D381" s="5">
        <f>2439488465.38/(30*1000000)</f>
        <v>81.31628217933334</v>
      </c>
      <c r="E381" s="5">
        <f>101649544.95/(30*1000000)</f>
        <v>3.3883181650000003</v>
      </c>
      <c r="F381" s="5">
        <f>5345/(30*1000000)</f>
        <v>0.00017816666666666667</v>
      </c>
      <c r="G381" s="6">
        <v>37949</v>
      </c>
      <c r="H381" s="6">
        <v>38345</v>
      </c>
    </row>
    <row r="382" spans="1:8" ht="11.25">
      <c r="A382" s="3">
        <f t="shared" si="5"/>
        <v>380</v>
      </c>
      <c r="B382" s="4" t="s">
        <v>263</v>
      </c>
      <c r="C382" s="3">
        <v>7701310927</v>
      </c>
      <c r="D382" s="5">
        <f>2438376925.29/(30*1000000)</f>
        <v>81.279230843</v>
      </c>
      <c r="E382" s="5">
        <f>497291/(30*1000000)</f>
        <v>0.016576366666666665</v>
      </c>
      <c r="F382" s="5">
        <f>6620/(30*1000000)</f>
        <v>0.00022066666666666667</v>
      </c>
      <c r="G382" s="6">
        <v>37626</v>
      </c>
      <c r="H382" s="6">
        <v>38278</v>
      </c>
    </row>
    <row r="383" spans="1:8" ht="11.25">
      <c r="A383" s="3">
        <f t="shared" si="5"/>
        <v>381</v>
      </c>
      <c r="B383" s="4" t="s">
        <v>1351</v>
      </c>
      <c r="C383" s="3">
        <v>7707318231</v>
      </c>
      <c r="D383" s="5">
        <f>2433078222.11/(30*1000000)</f>
        <v>81.10260740366667</v>
      </c>
      <c r="E383" s="5">
        <f>2432971782.85/(30*1000000)</f>
        <v>81.09905942833333</v>
      </c>
      <c r="F383" s="5">
        <f>0/(30*1000000)</f>
        <v>0</v>
      </c>
      <c r="G383" s="6">
        <v>37817</v>
      </c>
      <c r="H383" s="6">
        <v>37935</v>
      </c>
    </row>
    <row r="384" spans="1:8" ht="11.25">
      <c r="A384" s="3">
        <f t="shared" si="5"/>
        <v>382</v>
      </c>
      <c r="B384" s="4" t="s">
        <v>556</v>
      </c>
      <c r="C384" s="3">
        <v>7715351761</v>
      </c>
      <c r="D384" s="5">
        <f>2432788757.56/(30*1000000)</f>
        <v>81.09295858533334</v>
      </c>
      <c r="E384" s="5">
        <f>2430840123.64/(30*1000000)</f>
        <v>81.02800412133332</v>
      </c>
      <c r="F384" s="5">
        <f>0/(30*1000000)</f>
        <v>0</v>
      </c>
      <c r="G384" s="6">
        <v>37739</v>
      </c>
      <c r="H384" s="6">
        <v>38058</v>
      </c>
    </row>
    <row r="385" spans="1:8" ht="11.25">
      <c r="A385" s="3">
        <f t="shared" si="5"/>
        <v>383</v>
      </c>
      <c r="B385" s="4" t="s">
        <v>178</v>
      </c>
      <c r="C385" s="3">
        <v>7709378300</v>
      </c>
      <c r="D385" s="5">
        <f>2429483496.51/(30*1000000)</f>
        <v>80.982783217</v>
      </c>
      <c r="E385" s="5">
        <f>1615381773.65/(30*1000000)</f>
        <v>53.84605912166667</v>
      </c>
      <c r="F385" s="5">
        <f>8931/(30*1000000)</f>
        <v>0.0002977</v>
      </c>
      <c r="G385" s="6">
        <v>37629</v>
      </c>
      <c r="H385" s="6">
        <v>38012</v>
      </c>
    </row>
    <row r="386" spans="1:8" ht="11.25">
      <c r="A386" s="3">
        <f t="shared" si="5"/>
        <v>384</v>
      </c>
      <c r="B386" s="4" t="s">
        <v>229</v>
      </c>
      <c r="C386" s="3">
        <v>7706308336</v>
      </c>
      <c r="D386" s="5">
        <f>2429336851.36/(30*1000000)</f>
        <v>80.97789504533334</v>
      </c>
      <c r="E386" s="5">
        <f>1029149812.77/(30*1000000)</f>
        <v>34.304993759</v>
      </c>
      <c r="F386" s="5">
        <f>121961/(30*1000000)</f>
        <v>0.004065366666666666</v>
      </c>
      <c r="G386" s="6">
        <v>37880</v>
      </c>
      <c r="H386" s="6">
        <v>38349</v>
      </c>
    </row>
    <row r="387" spans="1:8" ht="11.25">
      <c r="A387" s="3">
        <f t="shared" si="5"/>
        <v>385</v>
      </c>
      <c r="B387" s="4" t="s">
        <v>241</v>
      </c>
      <c r="C387" s="3">
        <v>7715367722</v>
      </c>
      <c r="D387" s="5">
        <f>2422002754.75/(30*1000000)</f>
        <v>80.73342515833333</v>
      </c>
      <c r="E387" s="5">
        <f>178251899.22/(30*1000000)</f>
        <v>5.941729974</v>
      </c>
      <c r="F387" s="5">
        <f>1852138/(30*1000000)</f>
        <v>0.061737933333333335</v>
      </c>
      <c r="G387" s="6">
        <v>37705</v>
      </c>
      <c r="H387" s="6">
        <v>38352</v>
      </c>
    </row>
    <row r="388" spans="1:8" ht="11.25">
      <c r="A388" s="3">
        <f t="shared" si="5"/>
        <v>386</v>
      </c>
      <c r="B388" s="4" t="s">
        <v>212</v>
      </c>
      <c r="C388" s="3">
        <v>7727230024</v>
      </c>
      <c r="D388" s="5">
        <f>2419152005.8/(30*1000000)</f>
        <v>80.63840019333334</v>
      </c>
      <c r="E388" s="5">
        <f>2413897154/(30*1000000)</f>
        <v>80.46323846666667</v>
      </c>
      <c r="F388" s="5">
        <f>1935/(30*1000000)</f>
        <v>6.45E-05</v>
      </c>
      <c r="G388" s="6">
        <v>37827</v>
      </c>
      <c r="H388" s="6">
        <v>38278</v>
      </c>
    </row>
    <row r="389" spans="1:8" ht="11.25">
      <c r="A389" s="3">
        <f aca="true" t="shared" si="6" ref="A389:A452">1+A388</f>
        <v>387</v>
      </c>
      <c r="B389" s="4" t="s">
        <v>584</v>
      </c>
      <c r="C389" s="3">
        <v>7713306940</v>
      </c>
      <c r="D389" s="5">
        <f>2412593267.61/(30*1000000)</f>
        <v>80.419775587</v>
      </c>
      <c r="E389" s="5">
        <f>266428147.6/(30*1000000)</f>
        <v>8.880938253333333</v>
      </c>
      <c r="F389" s="5">
        <f>855384/(30*1000000)</f>
        <v>0.0285128</v>
      </c>
      <c r="G389" s="6">
        <v>37631</v>
      </c>
      <c r="H389" s="6">
        <v>38314</v>
      </c>
    </row>
    <row r="390" spans="1:8" ht="11.25">
      <c r="A390" s="3">
        <f t="shared" si="6"/>
        <v>388</v>
      </c>
      <c r="B390" s="4" t="s">
        <v>349</v>
      </c>
      <c r="C390" s="3">
        <v>7705614972</v>
      </c>
      <c r="D390" s="5">
        <f>2409287032.3/(30*1000000)</f>
        <v>80.30956774333335</v>
      </c>
      <c r="E390" s="5">
        <f>57625740.24/(30*1000000)</f>
        <v>1.9208580080000002</v>
      </c>
      <c r="F390" s="5">
        <f>0/(30*1000000)</f>
        <v>0</v>
      </c>
      <c r="G390" s="6">
        <v>38240</v>
      </c>
      <c r="H390" s="6">
        <v>38352</v>
      </c>
    </row>
    <row r="391" spans="1:8" ht="11.25">
      <c r="A391" s="3">
        <f t="shared" si="6"/>
        <v>389</v>
      </c>
      <c r="B391" s="4" t="s">
        <v>300</v>
      </c>
      <c r="C391" s="3">
        <v>7705504296</v>
      </c>
      <c r="D391" s="5">
        <f>2406636533.39/(30*1000000)</f>
        <v>80.22121777966666</v>
      </c>
      <c r="E391" s="5">
        <f>30071064/(30*1000000)</f>
        <v>1.0023688</v>
      </c>
      <c r="F391" s="5">
        <f>0/(30*1000000)</f>
        <v>0</v>
      </c>
      <c r="G391" s="6">
        <v>37901</v>
      </c>
      <c r="H391" s="6">
        <v>38035</v>
      </c>
    </row>
    <row r="392" spans="1:8" ht="11.25">
      <c r="A392" s="3">
        <f t="shared" si="6"/>
        <v>390</v>
      </c>
      <c r="B392" s="4" t="s">
        <v>1294</v>
      </c>
      <c r="C392" s="3">
        <v>7728272154</v>
      </c>
      <c r="D392" s="5">
        <f>2401237723.48/(30*1000000)</f>
        <v>80.04125744933333</v>
      </c>
      <c r="E392" s="5">
        <f>1589660197.37/(30*1000000)</f>
        <v>52.98867324566666</v>
      </c>
      <c r="F392" s="5">
        <f>1000/(30*1000000)</f>
        <v>3.3333333333333335E-05</v>
      </c>
      <c r="G392" s="6">
        <v>37679</v>
      </c>
      <c r="H392" s="6">
        <v>38342</v>
      </c>
    </row>
    <row r="393" spans="1:8" ht="11.25">
      <c r="A393" s="3">
        <f t="shared" si="6"/>
        <v>391</v>
      </c>
      <c r="B393" s="4" t="s">
        <v>155</v>
      </c>
      <c r="C393" s="3">
        <v>7702506922</v>
      </c>
      <c r="D393" s="5">
        <f>2398289096.96/(30*1000000)</f>
        <v>79.94296989866668</v>
      </c>
      <c r="E393" s="5">
        <f>2304041618.51/(30*1000000)</f>
        <v>76.80138728366667</v>
      </c>
      <c r="F393" s="5">
        <f>0/(30*1000000)</f>
        <v>0</v>
      </c>
      <c r="G393" s="6">
        <v>37963</v>
      </c>
      <c r="H393" s="6">
        <v>38351</v>
      </c>
    </row>
    <row r="394" spans="1:8" ht="11.25">
      <c r="A394" s="3">
        <f t="shared" si="6"/>
        <v>392</v>
      </c>
      <c r="B394" s="4" t="s">
        <v>350</v>
      </c>
      <c r="C394" s="3">
        <v>7706277906</v>
      </c>
      <c r="D394" s="5">
        <f>2398070538.98/(30*1000000)</f>
        <v>79.93568463266666</v>
      </c>
      <c r="E394" s="5">
        <f>25504861.6/(30*1000000)</f>
        <v>0.8501620533333334</v>
      </c>
      <c r="F394" s="5">
        <f>234877/(30*1000000)</f>
        <v>0.007829233333333333</v>
      </c>
      <c r="G394" s="6">
        <v>37670</v>
      </c>
      <c r="H394" s="6">
        <v>38348</v>
      </c>
    </row>
    <row r="395" spans="1:8" ht="11.25">
      <c r="A395" s="3">
        <f t="shared" si="6"/>
        <v>393</v>
      </c>
      <c r="B395" s="4" t="s">
        <v>603</v>
      </c>
      <c r="C395" s="3">
        <v>7716218360</v>
      </c>
      <c r="D395" s="5">
        <f>2397490567.43/(30*1000000)</f>
        <v>79.91635224766667</v>
      </c>
      <c r="E395" s="5">
        <f>990505090/(30*1000000)</f>
        <v>33.01683633333333</v>
      </c>
      <c r="F395" s="5">
        <f>4697/(30*1000000)</f>
        <v>0.00015656666666666666</v>
      </c>
      <c r="G395" s="6">
        <v>37630</v>
      </c>
      <c r="H395" s="6">
        <v>38197</v>
      </c>
    </row>
    <row r="396" spans="1:8" ht="11.25">
      <c r="A396" s="3">
        <f t="shared" si="6"/>
        <v>394</v>
      </c>
      <c r="B396" s="4" t="s">
        <v>227</v>
      </c>
      <c r="C396" s="3">
        <v>3702050512</v>
      </c>
      <c r="D396" s="5">
        <f>2388186963.29/(30*1000000)</f>
        <v>79.60623210966666</v>
      </c>
      <c r="E396" s="5">
        <f>33322.13/(30*1000000)</f>
        <v>0.0011107376666666666</v>
      </c>
      <c r="F396" s="5">
        <f>0/(30*1000000)</f>
        <v>0</v>
      </c>
      <c r="G396" s="6">
        <v>38155</v>
      </c>
      <c r="H396" s="6">
        <v>38351</v>
      </c>
    </row>
    <row r="397" spans="1:8" ht="11.25">
      <c r="A397" s="3">
        <f t="shared" si="6"/>
        <v>395</v>
      </c>
      <c r="B397" s="4" t="s">
        <v>423</v>
      </c>
      <c r="C397" s="3">
        <v>7714261642</v>
      </c>
      <c r="D397" s="5">
        <f>2388156942.71/(30*1000000)</f>
        <v>79.60523142366667</v>
      </c>
      <c r="E397" s="5">
        <f>57204892.81/(30*1000000)</f>
        <v>1.9068297603333335</v>
      </c>
      <c r="F397" s="5">
        <f>0/(30*1000000)</f>
        <v>0</v>
      </c>
      <c r="G397" s="6">
        <v>37625</v>
      </c>
      <c r="H397" s="6">
        <v>37819</v>
      </c>
    </row>
    <row r="398" spans="1:8" ht="11.25">
      <c r="A398" s="3">
        <f t="shared" si="6"/>
        <v>396</v>
      </c>
      <c r="B398" s="4" t="s">
        <v>658</v>
      </c>
      <c r="C398" s="3">
        <v>7733510686</v>
      </c>
      <c r="D398" s="5">
        <f>2379965176.8/(30*1000000)</f>
        <v>79.33217256</v>
      </c>
      <c r="E398" s="5">
        <f>888471552.41/(30*1000000)</f>
        <v>29.615718413666666</v>
      </c>
      <c r="F398" s="5">
        <f>1294449/(30*1000000)</f>
        <v>0.0431483</v>
      </c>
      <c r="G398" s="6">
        <v>38037</v>
      </c>
      <c r="H398" s="6">
        <v>38343</v>
      </c>
    </row>
    <row r="399" spans="1:8" ht="11.25">
      <c r="A399" s="3">
        <f t="shared" si="6"/>
        <v>397</v>
      </c>
      <c r="B399" s="4" t="s">
        <v>230</v>
      </c>
      <c r="C399" s="3">
        <v>7718256788</v>
      </c>
      <c r="D399" s="5">
        <f>2378213735.17/(30*1000000)</f>
        <v>79.27379117233333</v>
      </c>
      <c r="E399" s="5">
        <f>1481013240.8/(30*1000000)</f>
        <v>49.36710802666666</v>
      </c>
      <c r="F399" s="5">
        <f>1839/(30*1000000)</f>
        <v>6.13E-05</v>
      </c>
      <c r="G399" s="6">
        <v>38077</v>
      </c>
      <c r="H399" s="6">
        <v>38240</v>
      </c>
    </row>
    <row r="400" spans="1:8" ht="11.25">
      <c r="A400" s="3">
        <f t="shared" si="6"/>
        <v>398</v>
      </c>
      <c r="B400" s="4" t="s">
        <v>292</v>
      </c>
      <c r="C400" s="3">
        <v>7705480743</v>
      </c>
      <c r="D400" s="5">
        <f>2373164977.92/(30*1000000)</f>
        <v>79.105499264</v>
      </c>
      <c r="E400" s="5">
        <f>213192429.5/(30*1000000)</f>
        <v>7.106414316666666</v>
      </c>
      <c r="F400" s="5">
        <f>1025166/(30*1000000)</f>
        <v>0.0341722</v>
      </c>
      <c r="G400" s="6">
        <v>37656</v>
      </c>
      <c r="H400" s="6">
        <v>38043</v>
      </c>
    </row>
    <row r="401" spans="1:8" ht="11.25">
      <c r="A401" s="3">
        <f t="shared" si="6"/>
        <v>399</v>
      </c>
      <c r="B401" s="4" t="s">
        <v>595</v>
      </c>
      <c r="C401" s="3">
        <v>7731267250</v>
      </c>
      <c r="D401" s="5">
        <f>2366304000.63/(30*1000000)</f>
        <v>78.87680002100001</v>
      </c>
      <c r="E401" s="5">
        <f>316564655.48/(30*1000000)</f>
        <v>10.552155182666667</v>
      </c>
      <c r="F401" s="5">
        <f>729876/(30*1000000)</f>
        <v>0.0243292</v>
      </c>
      <c r="G401" s="6">
        <v>37747</v>
      </c>
      <c r="H401" s="6">
        <v>38336</v>
      </c>
    </row>
    <row r="402" spans="1:8" ht="11.25">
      <c r="A402" s="3">
        <f t="shared" si="6"/>
        <v>400</v>
      </c>
      <c r="B402" s="4" t="s">
        <v>224</v>
      </c>
      <c r="C402" s="3">
        <v>7725214443</v>
      </c>
      <c r="D402" s="5">
        <f>2366287874.18/(30*1000000)</f>
        <v>78.87626247266667</v>
      </c>
      <c r="E402" s="5">
        <f>605574565.1/(30*1000000)</f>
        <v>20.185818836666666</v>
      </c>
      <c r="F402" s="5">
        <f>1218715/(30*1000000)</f>
        <v>0.04062383333333333</v>
      </c>
      <c r="G402" s="6">
        <v>37719</v>
      </c>
      <c r="H402" s="6">
        <v>38257</v>
      </c>
    </row>
    <row r="403" spans="1:8" ht="11.25">
      <c r="A403" s="3">
        <f t="shared" si="6"/>
        <v>401</v>
      </c>
      <c r="B403" s="4" t="s">
        <v>1305</v>
      </c>
      <c r="C403" s="3">
        <v>7715362918</v>
      </c>
      <c r="D403" s="5">
        <f>2363980980.41/(30*1000000)</f>
        <v>78.79936601366666</v>
      </c>
      <c r="E403" s="5">
        <f>1308775222.08/(30*1000000)</f>
        <v>43.625840736</v>
      </c>
      <c r="F403" s="5">
        <f>1238/(30*1000000)</f>
        <v>4.126666666666667E-05</v>
      </c>
      <c r="G403" s="6">
        <v>37707</v>
      </c>
      <c r="H403" s="6">
        <v>38089</v>
      </c>
    </row>
    <row r="404" spans="1:8" ht="22.5">
      <c r="A404" s="3">
        <f t="shared" si="6"/>
        <v>402</v>
      </c>
      <c r="B404" s="4" t="s">
        <v>652</v>
      </c>
      <c r="C404" s="3">
        <v>7816202597</v>
      </c>
      <c r="D404" s="5">
        <f>2361663068.41/(30*1000000)</f>
        <v>78.72210228033333</v>
      </c>
      <c r="E404" s="5">
        <f>89337296/(30*1000000)</f>
        <v>2.977909866666667</v>
      </c>
      <c r="F404" s="5">
        <f>0/(30*1000000)</f>
        <v>0</v>
      </c>
      <c r="G404" s="6">
        <v>37733</v>
      </c>
      <c r="H404" s="6">
        <v>38351</v>
      </c>
    </row>
    <row r="405" spans="1:8" ht="11.25">
      <c r="A405" s="3">
        <f t="shared" si="6"/>
        <v>403</v>
      </c>
      <c r="B405" s="4" t="s">
        <v>555</v>
      </c>
      <c r="C405" s="3">
        <v>7706290946</v>
      </c>
      <c r="D405" s="5">
        <f>2355229659.1/(30*1000000)</f>
        <v>78.50765530333334</v>
      </c>
      <c r="E405" s="5">
        <f>489087249.13/(30*1000000)</f>
        <v>16.302908304333332</v>
      </c>
      <c r="F405" s="5">
        <f>530363/(30*1000000)</f>
        <v>0.01767876666666667</v>
      </c>
      <c r="G405" s="6">
        <v>37733</v>
      </c>
      <c r="H405" s="6">
        <v>38296</v>
      </c>
    </row>
    <row r="406" spans="1:8" ht="11.25">
      <c r="A406" s="3">
        <f t="shared" si="6"/>
        <v>404</v>
      </c>
      <c r="B406" s="4" t="s">
        <v>575</v>
      </c>
      <c r="C406" s="3">
        <v>7715336273</v>
      </c>
      <c r="D406" s="5">
        <f>2350952381.96/(30*1000000)</f>
        <v>78.36507939866667</v>
      </c>
      <c r="E406" s="5">
        <f>101214856.2/(30*1000000)</f>
        <v>3.3738285400000003</v>
      </c>
      <c r="F406" s="5">
        <f>0/(30*1000000)</f>
        <v>0</v>
      </c>
      <c r="G406" s="6">
        <v>37625</v>
      </c>
      <c r="H406" s="6">
        <v>38021</v>
      </c>
    </row>
    <row r="407" spans="1:8" ht="11.25">
      <c r="A407" s="3">
        <f t="shared" si="6"/>
        <v>405</v>
      </c>
      <c r="B407" s="4" t="s">
        <v>199</v>
      </c>
      <c r="C407" s="3">
        <v>814117657</v>
      </c>
      <c r="D407" s="5">
        <f>2348797586.29/(30*1000000)</f>
        <v>78.29325287633333</v>
      </c>
      <c r="E407" s="5">
        <f>685508663.82/(30*1000000)</f>
        <v>22.850288794</v>
      </c>
      <c r="F407" s="5">
        <f>0/(30*1000000)</f>
        <v>0</v>
      </c>
      <c r="G407" s="6">
        <v>37630</v>
      </c>
      <c r="H407" s="6">
        <v>38226</v>
      </c>
    </row>
    <row r="408" spans="1:8" ht="22.5">
      <c r="A408" s="3">
        <f t="shared" si="6"/>
        <v>406</v>
      </c>
      <c r="B408" s="4" t="s">
        <v>1289</v>
      </c>
      <c r="C408" s="3">
        <v>8001040723</v>
      </c>
      <c r="D408" s="5">
        <f>2348509816.17/(30*1000000)</f>
        <v>78.283660539</v>
      </c>
      <c r="E408" s="5">
        <f>1238258342.78/(30*1000000)</f>
        <v>41.27527809266667</v>
      </c>
      <c r="F408" s="5">
        <f>98087/(30*1000000)</f>
        <v>0.0032695666666666665</v>
      </c>
      <c r="G408" s="6">
        <v>37625</v>
      </c>
      <c r="H408" s="6">
        <v>38189</v>
      </c>
    </row>
    <row r="409" spans="1:8" ht="11.25">
      <c r="A409" s="3">
        <f t="shared" si="6"/>
        <v>407</v>
      </c>
      <c r="B409" s="4" t="s">
        <v>1257</v>
      </c>
      <c r="C409" s="3">
        <v>7705418978</v>
      </c>
      <c r="D409" s="5">
        <f>2341543152.97/(30*1000000)</f>
        <v>78.05143843233333</v>
      </c>
      <c r="E409" s="5">
        <f>300534988/(30*1000000)</f>
        <v>10.017832933333333</v>
      </c>
      <c r="F409" s="5">
        <f>26045/(30*1000000)</f>
        <v>0.0008681666666666667</v>
      </c>
      <c r="G409" s="6">
        <v>37629</v>
      </c>
      <c r="H409" s="6">
        <v>38099</v>
      </c>
    </row>
    <row r="410" spans="1:8" ht="11.25">
      <c r="A410" s="3">
        <f t="shared" si="6"/>
        <v>408</v>
      </c>
      <c r="B410" s="4" t="s">
        <v>243</v>
      </c>
      <c r="C410" s="3">
        <v>7721263224</v>
      </c>
      <c r="D410" s="5">
        <f>2336561089.06/(30*1000000)</f>
        <v>77.88536963533333</v>
      </c>
      <c r="E410" s="5">
        <f>107552834.13/(30*1000000)</f>
        <v>3.5850944709999997</v>
      </c>
      <c r="F410" s="5">
        <f>25470/(30*1000000)</f>
        <v>0.000849</v>
      </c>
      <c r="G410" s="6">
        <v>37992</v>
      </c>
      <c r="H410" s="6">
        <v>38352</v>
      </c>
    </row>
    <row r="411" spans="1:8" ht="11.25">
      <c r="A411" s="3">
        <f t="shared" si="6"/>
        <v>409</v>
      </c>
      <c r="B411" s="4" t="s">
        <v>674</v>
      </c>
      <c r="C411" s="3">
        <v>7710351366</v>
      </c>
      <c r="D411" s="5">
        <f>2315626440.61/(30*1000000)</f>
        <v>77.18754802033334</v>
      </c>
      <c r="E411" s="5">
        <f>410005357.57/(30*1000000)</f>
        <v>13.666845252333333</v>
      </c>
      <c r="F411" s="5">
        <f>809402/(30*1000000)</f>
        <v>0.026980066666666667</v>
      </c>
      <c r="G411" s="6">
        <v>37626</v>
      </c>
      <c r="H411" s="6">
        <v>38278</v>
      </c>
    </row>
    <row r="412" spans="1:8" ht="11.25">
      <c r="A412" s="3">
        <f t="shared" si="6"/>
        <v>410</v>
      </c>
      <c r="B412" s="4" t="s">
        <v>410</v>
      </c>
      <c r="C412" s="3">
        <v>7713344141</v>
      </c>
      <c r="D412" s="5">
        <f>2302986985.47/(30*1000000)</f>
        <v>76.76623284899999</v>
      </c>
      <c r="E412" s="5">
        <f>36121283.95/(30*1000000)</f>
        <v>1.2040427983333335</v>
      </c>
      <c r="F412" s="5">
        <f>0/(30*1000000)</f>
        <v>0</v>
      </c>
      <c r="G412" s="6">
        <v>37721</v>
      </c>
      <c r="H412" s="6">
        <v>38135</v>
      </c>
    </row>
    <row r="413" spans="1:8" ht="11.25">
      <c r="A413" s="3">
        <f t="shared" si="6"/>
        <v>411</v>
      </c>
      <c r="B413" s="4" t="s">
        <v>1319</v>
      </c>
      <c r="C413" s="3">
        <v>7722501697</v>
      </c>
      <c r="D413" s="5">
        <f>2297943712.2/(30*1000000)</f>
        <v>76.59812373999999</v>
      </c>
      <c r="E413" s="5">
        <f>1745530013.7/(30*1000000)</f>
        <v>58.184333790000004</v>
      </c>
      <c r="F413" s="5">
        <f>0/(30*1000000)</f>
        <v>0</v>
      </c>
      <c r="G413" s="6">
        <v>38086</v>
      </c>
      <c r="H413" s="6">
        <v>38331</v>
      </c>
    </row>
    <row r="414" spans="1:8" ht="11.25">
      <c r="A414" s="3">
        <f t="shared" si="6"/>
        <v>412</v>
      </c>
      <c r="B414" s="4" t="s">
        <v>226</v>
      </c>
      <c r="C414" s="3">
        <v>3702024417</v>
      </c>
      <c r="D414" s="5">
        <f>2296737309.07/(30*1000000)</f>
        <v>76.55791030233334</v>
      </c>
      <c r="E414" s="5">
        <f>572297746.81/(30*1000000)</f>
        <v>19.07659156033333</v>
      </c>
      <c r="F414" s="5">
        <f>1658915/(30*1000000)</f>
        <v>0.05529716666666667</v>
      </c>
      <c r="G414" s="6">
        <v>37642</v>
      </c>
      <c r="H414" s="6">
        <v>38019</v>
      </c>
    </row>
    <row r="415" spans="1:8" ht="11.25">
      <c r="A415" s="3">
        <f t="shared" si="6"/>
        <v>413</v>
      </c>
      <c r="B415" s="4" t="s">
        <v>380</v>
      </c>
      <c r="C415" s="3">
        <v>7705442868</v>
      </c>
      <c r="D415" s="5">
        <f>2286734615.8/(30*1000000)</f>
        <v>76.22448719333335</v>
      </c>
      <c r="E415" s="5">
        <f>3078000/(30*1000000)</f>
        <v>0.1026</v>
      </c>
      <c r="F415" s="5">
        <f>0/(30*1000000)</f>
        <v>0</v>
      </c>
      <c r="G415" s="6">
        <v>37685</v>
      </c>
      <c r="H415" s="6">
        <v>38135</v>
      </c>
    </row>
    <row r="416" spans="1:8" ht="11.25">
      <c r="A416" s="3">
        <f t="shared" si="6"/>
        <v>414</v>
      </c>
      <c r="B416" s="4" t="s">
        <v>647</v>
      </c>
      <c r="C416" s="3">
        <v>7733154822</v>
      </c>
      <c r="D416" s="5">
        <f>2282416397.07/(30*1000000)</f>
        <v>76.080546569</v>
      </c>
      <c r="E416" s="5">
        <f>324393777.92/(30*1000000)</f>
        <v>10.813125930666667</v>
      </c>
      <c r="F416" s="5">
        <f>1733408/(30*1000000)</f>
        <v>0.05778026666666667</v>
      </c>
      <c r="G416" s="6">
        <v>37756</v>
      </c>
      <c r="H416" s="6">
        <v>38289</v>
      </c>
    </row>
    <row r="417" spans="1:8" ht="11.25">
      <c r="A417" s="3">
        <f t="shared" si="6"/>
        <v>415</v>
      </c>
      <c r="B417" s="4" t="s">
        <v>181</v>
      </c>
      <c r="C417" s="3">
        <v>7709407543</v>
      </c>
      <c r="D417" s="5">
        <f>2279378341.39/(30*1000000)</f>
        <v>75.97927804633333</v>
      </c>
      <c r="E417" s="5">
        <f>2255266282.76/(30*1000000)</f>
        <v>75.17554275866668</v>
      </c>
      <c r="F417" s="5">
        <f>1791/(30*1000000)</f>
        <v>5.97E-05</v>
      </c>
      <c r="G417" s="6">
        <v>37748</v>
      </c>
      <c r="H417" s="6">
        <v>38337</v>
      </c>
    </row>
    <row r="418" spans="1:8" ht="11.25">
      <c r="A418" s="3">
        <f t="shared" si="6"/>
        <v>416</v>
      </c>
      <c r="B418" s="4" t="s">
        <v>163</v>
      </c>
      <c r="C418" s="3">
        <v>7714230161</v>
      </c>
      <c r="D418" s="5">
        <f>2267913860.72/(30*1000000)</f>
        <v>75.59712869066666</v>
      </c>
      <c r="E418" s="5">
        <f>1275588252.58/(30*1000000)</f>
        <v>42.51960841933333</v>
      </c>
      <c r="F418" s="5">
        <f>0/(30*1000000)</f>
        <v>0</v>
      </c>
      <c r="G418" s="6">
        <v>37662</v>
      </c>
      <c r="H418" s="6">
        <v>37845</v>
      </c>
    </row>
    <row r="419" spans="1:8" ht="11.25">
      <c r="A419" s="3">
        <f t="shared" si="6"/>
        <v>417</v>
      </c>
      <c r="B419" s="4" t="s">
        <v>203</v>
      </c>
      <c r="C419" s="3">
        <v>814153077</v>
      </c>
      <c r="D419" s="5">
        <f>2262642067.59/(30*1000000)</f>
        <v>75.42140225300001</v>
      </c>
      <c r="E419" s="5">
        <f>176651.84/(30*1000000)</f>
        <v>0.005888394666666666</v>
      </c>
      <c r="F419" s="5">
        <f>24036/(30*1000000)</f>
        <v>0.0008012</v>
      </c>
      <c r="G419" s="6">
        <v>37832</v>
      </c>
      <c r="H419" s="6">
        <v>38350</v>
      </c>
    </row>
    <row r="420" spans="1:8" ht="11.25">
      <c r="A420" s="3">
        <f t="shared" si="6"/>
        <v>418</v>
      </c>
      <c r="B420" s="4" t="s">
        <v>301</v>
      </c>
      <c r="C420" s="3">
        <v>7705504313</v>
      </c>
      <c r="D420" s="5">
        <f>2260596061.99/(30*1000000)</f>
        <v>75.35320206633332</v>
      </c>
      <c r="E420" s="5">
        <f>26651/(30*1000000)</f>
        <v>0.0008883666666666667</v>
      </c>
      <c r="F420" s="5">
        <f>4651/(30*1000000)</f>
        <v>0.00015503333333333333</v>
      </c>
      <c r="G420" s="6">
        <v>37951</v>
      </c>
      <c r="H420" s="6">
        <v>38203</v>
      </c>
    </row>
    <row r="421" spans="1:8" ht="11.25">
      <c r="A421" s="3">
        <f t="shared" si="6"/>
        <v>419</v>
      </c>
      <c r="B421" s="4" t="s">
        <v>175</v>
      </c>
      <c r="C421" s="3">
        <v>7709242274</v>
      </c>
      <c r="D421" s="5">
        <f>2260285677.12/(30*1000000)</f>
        <v>75.34285590399999</v>
      </c>
      <c r="E421" s="5">
        <f>1305831384.78/(30*1000000)</f>
        <v>43.527712826</v>
      </c>
      <c r="F421" s="5">
        <f>105090/(30*1000000)</f>
        <v>0.003503</v>
      </c>
      <c r="G421" s="6">
        <v>37636</v>
      </c>
      <c r="H421" s="6">
        <v>38351</v>
      </c>
    </row>
    <row r="422" spans="1:8" ht="11.25">
      <c r="A422" s="3">
        <f t="shared" si="6"/>
        <v>420</v>
      </c>
      <c r="B422" s="4" t="s">
        <v>661</v>
      </c>
      <c r="C422" s="3">
        <v>7841008177</v>
      </c>
      <c r="D422" s="5">
        <f>2253069276.51/(30*1000000)</f>
        <v>75.10230921700001</v>
      </c>
      <c r="E422" s="5">
        <f>249339379.97/(30*1000000)</f>
        <v>8.311312665666666</v>
      </c>
      <c r="F422" s="5">
        <f>0/(30*1000000)</f>
        <v>0</v>
      </c>
      <c r="G422" s="6">
        <v>38030</v>
      </c>
      <c r="H422" s="6">
        <v>38350</v>
      </c>
    </row>
    <row r="423" spans="1:8" ht="11.25">
      <c r="A423" s="3">
        <f t="shared" si="6"/>
        <v>421</v>
      </c>
      <c r="B423" s="4" t="s">
        <v>543</v>
      </c>
      <c r="C423" s="3">
        <v>7714299935</v>
      </c>
      <c r="D423" s="5">
        <f>2252622521.2/(30*1000000)</f>
        <v>75.08741737333332</v>
      </c>
      <c r="E423" s="5">
        <f>69641517.92/(30*1000000)</f>
        <v>2.321383930666667</v>
      </c>
      <c r="F423" s="5">
        <f>510/(30*1000000)</f>
        <v>1.7E-05</v>
      </c>
      <c r="G423" s="6">
        <v>37896</v>
      </c>
      <c r="H423" s="6">
        <v>38177</v>
      </c>
    </row>
    <row r="424" spans="1:8" ht="11.25">
      <c r="A424" s="3">
        <f t="shared" si="6"/>
        <v>422</v>
      </c>
      <c r="B424" s="4" t="s">
        <v>232</v>
      </c>
      <c r="C424" s="3">
        <v>4025071635</v>
      </c>
      <c r="D424" s="5">
        <f>2246350525.66/(30*1000000)</f>
        <v>74.87835085533332</v>
      </c>
      <c r="E424" s="5">
        <f>537461170.37/(30*1000000)</f>
        <v>17.91537234566667</v>
      </c>
      <c r="F424" s="5">
        <f>991122/(30*1000000)</f>
        <v>0.0330374</v>
      </c>
      <c r="G424" s="6">
        <v>37638</v>
      </c>
      <c r="H424" s="6">
        <v>38209</v>
      </c>
    </row>
    <row r="425" spans="1:8" ht="11.25">
      <c r="A425" s="3">
        <f t="shared" si="6"/>
        <v>423</v>
      </c>
      <c r="B425" s="4" t="s">
        <v>357</v>
      </c>
      <c r="C425" s="3">
        <v>7706308569</v>
      </c>
      <c r="D425" s="5">
        <f>2242351347.39/(30*1000000)</f>
        <v>74.745044913</v>
      </c>
      <c r="E425" s="5">
        <f>243446539.18/(30*1000000)</f>
        <v>8.114884639333333</v>
      </c>
      <c r="F425" s="5">
        <f>437956/(30*1000000)</f>
        <v>0.014598533333333334</v>
      </c>
      <c r="G425" s="6">
        <v>37896</v>
      </c>
      <c r="H425" s="6">
        <v>38351</v>
      </c>
    </row>
    <row r="426" spans="1:8" ht="11.25">
      <c r="A426" s="3">
        <f t="shared" si="6"/>
        <v>424</v>
      </c>
      <c r="B426" s="4" t="s">
        <v>249</v>
      </c>
      <c r="C426" s="3">
        <v>7724265910</v>
      </c>
      <c r="D426" s="5">
        <f>2231561553.54/(30*1000000)</f>
        <v>74.385385118</v>
      </c>
      <c r="E426" s="5">
        <f>458380170.12/(30*1000000)</f>
        <v>15.279339004</v>
      </c>
      <c r="F426" s="5">
        <f>977081/(30*1000000)</f>
        <v>0.03256936666666667</v>
      </c>
      <c r="G426" s="6">
        <v>38012</v>
      </c>
      <c r="H426" s="6">
        <v>38342</v>
      </c>
    </row>
    <row r="427" spans="1:8" ht="11.25">
      <c r="A427" s="3">
        <f t="shared" si="6"/>
        <v>425</v>
      </c>
      <c r="B427" s="4" t="s">
        <v>1281</v>
      </c>
      <c r="C427" s="3">
        <v>7725193881</v>
      </c>
      <c r="D427" s="5">
        <f>2227870174.37/(30*1000000)</f>
        <v>74.26233914566666</v>
      </c>
      <c r="E427" s="5">
        <f>2089012686.98/(30*1000000)</f>
        <v>69.63375623266667</v>
      </c>
      <c r="F427" s="5">
        <f>51000/(30*1000000)</f>
        <v>0.0017</v>
      </c>
      <c r="G427" s="6">
        <v>37635</v>
      </c>
      <c r="H427" s="6">
        <v>37928</v>
      </c>
    </row>
    <row r="428" spans="1:8" ht="11.25">
      <c r="A428" s="3">
        <f t="shared" si="6"/>
        <v>426</v>
      </c>
      <c r="B428" s="4" t="s">
        <v>245</v>
      </c>
      <c r="C428" s="3">
        <v>7722294296</v>
      </c>
      <c r="D428" s="5">
        <f>2227429696.51/(30*1000000)</f>
        <v>74.24765655033335</v>
      </c>
      <c r="E428" s="5">
        <f>28877547.16/(30*1000000)</f>
        <v>0.9625849053333333</v>
      </c>
      <c r="F428" s="5">
        <f>4207/(30*1000000)</f>
        <v>0.00014023333333333334</v>
      </c>
      <c r="G428" s="6">
        <v>38041</v>
      </c>
      <c r="H428" s="6">
        <v>38352</v>
      </c>
    </row>
    <row r="429" spans="1:8" ht="11.25">
      <c r="A429" s="3">
        <f t="shared" si="6"/>
        <v>427</v>
      </c>
      <c r="B429" s="4" t="s">
        <v>402</v>
      </c>
      <c r="C429" s="3">
        <v>7708502473</v>
      </c>
      <c r="D429" s="5">
        <f>2225060551.71/(30*1000000)</f>
        <v>74.168685057</v>
      </c>
      <c r="E429" s="5">
        <f>167967258.69/(30*1000000)</f>
        <v>5.598908623</v>
      </c>
      <c r="F429" s="5">
        <f>1012573/(30*1000000)</f>
        <v>0.03375243333333333</v>
      </c>
      <c r="G429" s="6">
        <v>37985</v>
      </c>
      <c r="H429" s="6">
        <v>38352</v>
      </c>
    </row>
    <row r="430" spans="1:8" ht="11.25">
      <c r="A430" s="3">
        <f t="shared" si="6"/>
        <v>428</v>
      </c>
      <c r="B430" s="4" t="s">
        <v>1297</v>
      </c>
      <c r="C430" s="3">
        <v>7733177192</v>
      </c>
      <c r="D430" s="5">
        <f>2222429101.97/(30*1000000)</f>
        <v>74.08097006566666</v>
      </c>
      <c r="E430" s="5">
        <f>2027165755.68/(30*1000000)</f>
        <v>67.572191856</v>
      </c>
      <c r="F430" s="5">
        <f>0/(30*1000000)</f>
        <v>0</v>
      </c>
      <c r="G430" s="6">
        <v>37943</v>
      </c>
      <c r="H430" s="6">
        <v>38350</v>
      </c>
    </row>
    <row r="431" spans="1:8" ht="11.25">
      <c r="A431" s="3">
        <f t="shared" si="6"/>
        <v>429</v>
      </c>
      <c r="B431" s="4" t="s">
        <v>563</v>
      </c>
      <c r="C431" s="3">
        <v>7714516548</v>
      </c>
      <c r="D431" s="5">
        <f>2209764761.39/(30*1000000)</f>
        <v>73.65882537966667</v>
      </c>
      <c r="E431" s="5">
        <f>100907725.69/(30*1000000)</f>
        <v>3.3635908563333334</v>
      </c>
      <c r="F431" s="5">
        <f>1038005/(30*1000000)</f>
        <v>0.03460016666666667</v>
      </c>
      <c r="G431" s="6">
        <v>38022</v>
      </c>
      <c r="H431" s="6">
        <v>38350</v>
      </c>
    </row>
    <row r="432" spans="1:8" ht="11.25">
      <c r="A432" s="3">
        <f t="shared" si="6"/>
        <v>430</v>
      </c>
      <c r="B432" s="4" t="s">
        <v>675</v>
      </c>
      <c r="C432" s="3">
        <v>7710448248</v>
      </c>
      <c r="D432" s="5">
        <f>2205336825.76/(30*1000000)</f>
        <v>73.51122752533334</v>
      </c>
      <c r="E432" s="5">
        <f>715124617.66/(30*1000000)</f>
        <v>23.837487255333333</v>
      </c>
      <c r="F432" s="5">
        <f>22547/(30*1000000)</f>
        <v>0.0007515666666666667</v>
      </c>
      <c r="G432" s="6">
        <v>37664</v>
      </c>
      <c r="H432" s="6">
        <v>38324</v>
      </c>
    </row>
    <row r="433" spans="1:8" ht="11.25">
      <c r="A433" s="3">
        <f t="shared" si="6"/>
        <v>431</v>
      </c>
      <c r="B433" s="4" t="s">
        <v>1317</v>
      </c>
      <c r="C433" s="3">
        <v>7721265285</v>
      </c>
      <c r="D433" s="5">
        <f>2196794036.46/(30*1000000)</f>
        <v>73.226467882</v>
      </c>
      <c r="E433" s="5">
        <f>1753244336.82/(30*1000000)</f>
        <v>58.441477893999995</v>
      </c>
      <c r="F433" s="5">
        <f>347490/(30*1000000)</f>
        <v>0.011583</v>
      </c>
      <c r="G433" s="6">
        <v>37943</v>
      </c>
      <c r="H433" s="6">
        <v>38352</v>
      </c>
    </row>
    <row r="434" spans="1:8" ht="11.25">
      <c r="A434" s="3">
        <f t="shared" si="6"/>
        <v>432</v>
      </c>
      <c r="B434" s="4" t="s">
        <v>574</v>
      </c>
      <c r="C434" s="3">
        <v>7715333498</v>
      </c>
      <c r="D434" s="5">
        <f>2192000343.6/(30*1000000)</f>
        <v>73.06667811999999</v>
      </c>
      <c r="E434" s="5">
        <f>516726662.1/(30*1000000)</f>
        <v>17.22422207</v>
      </c>
      <c r="F434" s="5">
        <f>68268/(30*1000000)</f>
        <v>0.0022756</v>
      </c>
      <c r="G434" s="6">
        <v>37625</v>
      </c>
      <c r="H434" s="6">
        <v>38320</v>
      </c>
    </row>
    <row r="435" spans="1:8" ht="11.25">
      <c r="A435" s="3">
        <f t="shared" si="6"/>
        <v>433</v>
      </c>
      <c r="B435" s="4" t="s">
        <v>578</v>
      </c>
      <c r="C435" s="3">
        <v>7715355036</v>
      </c>
      <c r="D435" s="5">
        <f>2191915491.77/(30*1000000)</f>
        <v>73.06384972566667</v>
      </c>
      <c r="E435" s="5">
        <f>537374479.94/(30*1000000)</f>
        <v>17.91248266466667</v>
      </c>
      <c r="F435" s="5">
        <f>1207768/(30*1000000)</f>
        <v>0.04025893333333333</v>
      </c>
      <c r="G435" s="6">
        <v>37645</v>
      </c>
      <c r="H435" s="6">
        <v>38321</v>
      </c>
    </row>
    <row r="436" spans="1:8" ht="11.25">
      <c r="A436" s="3">
        <f t="shared" si="6"/>
        <v>434</v>
      </c>
      <c r="B436" s="4" t="s">
        <v>1258</v>
      </c>
      <c r="C436" s="3">
        <v>411112582</v>
      </c>
      <c r="D436" s="5">
        <f>2191443362.35/(30*1000000)</f>
        <v>73.04811207833333</v>
      </c>
      <c r="E436" s="5">
        <f>16435754.35/(30*1000000)</f>
        <v>0.5478584783333333</v>
      </c>
      <c r="F436" s="5">
        <f>220272/(30*1000000)</f>
        <v>0.0073424</v>
      </c>
      <c r="G436" s="6">
        <v>37802</v>
      </c>
      <c r="H436" s="6">
        <v>38352</v>
      </c>
    </row>
    <row r="437" spans="1:8" ht="11.25">
      <c r="A437" s="3">
        <f t="shared" si="6"/>
        <v>435</v>
      </c>
      <c r="B437" s="4" t="s">
        <v>379</v>
      </c>
      <c r="C437" s="3">
        <v>7705434176</v>
      </c>
      <c r="D437" s="5">
        <f>2184997170.46/(30*1000000)</f>
        <v>72.83323901533333</v>
      </c>
      <c r="E437" s="5">
        <f>593511503.18/(30*1000000)</f>
        <v>19.783716772666665</v>
      </c>
      <c r="F437" s="5">
        <f>12799/(30*1000000)</f>
        <v>0.0004266333333333333</v>
      </c>
      <c r="G437" s="6">
        <v>37634</v>
      </c>
      <c r="H437" s="6">
        <v>37942</v>
      </c>
    </row>
    <row r="438" spans="1:8" ht="11.25">
      <c r="A438" s="3">
        <f t="shared" si="6"/>
        <v>436</v>
      </c>
      <c r="B438" s="4" t="s">
        <v>1318</v>
      </c>
      <c r="C438" s="3">
        <v>7722277854</v>
      </c>
      <c r="D438" s="5">
        <f>2182593543.37/(30*1000000)</f>
        <v>72.75311811233333</v>
      </c>
      <c r="E438" s="5">
        <f>1164404278.73/(30*1000000)</f>
        <v>38.81347595766667</v>
      </c>
      <c r="F438" s="5">
        <f>63172/(30*1000000)</f>
        <v>0.0021057333333333334</v>
      </c>
      <c r="G438" s="6">
        <v>37760</v>
      </c>
      <c r="H438" s="6">
        <v>38349</v>
      </c>
    </row>
    <row r="439" spans="1:8" ht="11.25">
      <c r="A439" s="3">
        <f t="shared" si="6"/>
        <v>437</v>
      </c>
      <c r="B439" s="4" t="s">
        <v>280</v>
      </c>
      <c r="C439" s="3">
        <v>7706296225</v>
      </c>
      <c r="D439" s="5">
        <f>2176155979.58/(30*1000000)</f>
        <v>72.53853265266666</v>
      </c>
      <c r="E439" s="5">
        <f>344862524.16/(30*1000000)</f>
        <v>11.495417472000002</v>
      </c>
      <c r="F439" s="5">
        <f>3909/(30*1000000)</f>
        <v>0.0001303</v>
      </c>
      <c r="G439" s="6">
        <v>37866</v>
      </c>
      <c r="H439" s="6">
        <v>38257</v>
      </c>
    </row>
    <row r="440" spans="1:8" ht="11.25">
      <c r="A440" s="3">
        <f t="shared" si="6"/>
        <v>438</v>
      </c>
      <c r="B440" s="4" t="s">
        <v>1259</v>
      </c>
      <c r="C440" s="3">
        <v>7714281180</v>
      </c>
      <c r="D440" s="5">
        <f>2168874632.25/(30*1000000)</f>
        <v>72.295821075</v>
      </c>
      <c r="E440" s="5">
        <f>117087462.65/(30*1000000)</f>
        <v>3.902915421666667</v>
      </c>
      <c r="F440" s="5">
        <f>15411/(30*1000000)</f>
        <v>0.0005137</v>
      </c>
      <c r="G440" s="6">
        <v>37664</v>
      </c>
      <c r="H440" s="6">
        <v>38302</v>
      </c>
    </row>
    <row r="441" spans="1:8" ht="11.25">
      <c r="A441" s="3">
        <f t="shared" si="6"/>
        <v>439</v>
      </c>
      <c r="B441" s="4" t="s">
        <v>1361</v>
      </c>
      <c r="C441" s="3">
        <v>7709523797</v>
      </c>
      <c r="D441" s="5">
        <f>2166220128.9/(30*1000000)</f>
        <v>72.20733763</v>
      </c>
      <c r="E441" s="5">
        <f>1455909544.18/(30*1000000)</f>
        <v>48.53031813933334</v>
      </c>
      <c r="F441" s="5">
        <f>0/(30*1000000)</f>
        <v>0</v>
      </c>
      <c r="G441" s="6">
        <v>38086</v>
      </c>
      <c r="H441" s="6">
        <v>38328</v>
      </c>
    </row>
    <row r="442" spans="1:8" ht="11.25">
      <c r="A442" s="3">
        <f t="shared" si="6"/>
        <v>440</v>
      </c>
      <c r="B442" s="4" t="s">
        <v>616</v>
      </c>
      <c r="C442" s="3">
        <v>7718255826</v>
      </c>
      <c r="D442" s="5">
        <f>2164273934.63/(30*1000000)</f>
        <v>72.14246448766667</v>
      </c>
      <c r="E442" s="5">
        <f>321182885.16/(30*1000000)</f>
        <v>10.706096172</v>
      </c>
      <c r="F442" s="5">
        <f>50809/(30*1000000)</f>
        <v>0.0016936333333333333</v>
      </c>
      <c r="G442" s="6">
        <v>38169</v>
      </c>
      <c r="H442" s="6">
        <v>38348</v>
      </c>
    </row>
    <row r="443" spans="1:8" ht="11.25">
      <c r="A443" s="3">
        <f t="shared" si="6"/>
        <v>441</v>
      </c>
      <c r="B443" s="4" t="s">
        <v>344</v>
      </c>
      <c r="C443" s="3">
        <v>7703368256</v>
      </c>
      <c r="D443" s="5">
        <f>2162761745.04/(30*1000000)</f>
        <v>72.092058168</v>
      </c>
      <c r="E443" s="5">
        <f>54961975.6/(30*1000000)</f>
        <v>1.8320658533333334</v>
      </c>
      <c r="F443" s="5">
        <f>782/(30*1000000)</f>
        <v>2.6066666666666666E-05</v>
      </c>
      <c r="G443" s="6">
        <v>37770</v>
      </c>
      <c r="H443" s="6">
        <v>37966</v>
      </c>
    </row>
    <row r="444" spans="1:8" ht="11.25">
      <c r="A444" s="3">
        <f t="shared" si="6"/>
        <v>442</v>
      </c>
      <c r="B444" s="4" t="s">
        <v>231</v>
      </c>
      <c r="C444" s="3">
        <v>3234045034</v>
      </c>
      <c r="D444" s="5">
        <f>2157216259.16/(30*1000000)</f>
        <v>71.90720863866666</v>
      </c>
      <c r="E444" s="5">
        <f>127154030.74/(30*1000000)</f>
        <v>4.238467691333333</v>
      </c>
      <c r="F444" s="5">
        <f>80926/(30*1000000)</f>
        <v>0.0026975333333333334</v>
      </c>
      <c r="G444" s="6">
        <v>37678</v>
      </c>
      <c r="H444" s="6">
        <v>38287</v>
      </c>
    </row>
    <row r="445" spans="1:8" ht="11.25">
      <c r="A445" s="3">
        <f t="shared" si="6"/>
        <v>443</v>
      </c>
      <c r="B445" s="4" t="s">
        <v>1354</v>
      </c>
      <c r="C445" s="3">
        <v>7708195448</v>
      </c>
      <c r="D445" s="5">
        <f>2152451254.63/(30*1000000)</f>
        <v>71.74837515433333</v>
      </c>
      <c r="E445" s="5">
        <f>1314754553/(30*1000000)</f>
        <v>43.825151766666664</v>
      </c>
      <c r="F445" s="5">
        <f>162405/(30*1000000)</f>
        <v>0.0054135</v>
      </c>
      <c r="G445" s="6">
        <v>37629</v>
      </c>
      <c r="H445" s="6">
        <v>38135</v>
      </c>
    </row>
    <row r="446" spans="1:8" ht="11.25">
      <c r="A446" s="3">
        <f t="shared" si="6"/>
        <v>444</v>
      </c>
      <c r="B446" s="4" t="s">
        <v>346</v>
      </c>
      <c r="C446" s="3">
        <v>7706512116</v>
      </c>
      <c r="D446" s="5">
        <f>2150509744.82/(30*1000000)</f>
        <v>71.68365816066667</v>
      </c>
      <c r="E446" s="5">
        <f>149002000/(30*1000000)</f>
        <v>4.966733333333333</v>
      </c>
      <c r="F446" s="5">
        <f>0/(30*1000000)</f>
        <v>0</v>
      </c>
      <c r="G446" s="6">
        <v>38083</v>
      </c>
      <c r="H446" s="6">
        <v>38273</v>
      </c>
    </row>
    <row r="447" spans="1:8" ht="11.25">
      <c r="A447" s="3">
        <f t="shared" si="6"/>
        <v>445</v>
      </c>
      <c r="B447" s="4" t="s">
        <v>247</v>
      </c>
      <c r="C447" s="3">
        <v>7709398546</v>
      </c>
      <c r="D447" s="5">
        <f>2143341886.48/(30*1000000)</f>
        <v>71.44472954933333</v>
      </c>
      <c r="E447" s="5">
        <f>540816864.92/(30*1000000)</f>
        <v>18.027228830666665</v>
      </c>
      <c r="F447" s="5">
        <f>143217/(30*1000000)</f>
        <v>0.0047739</v>
      </c>
      <c r="G447" s="6">
        <v>38153</v>
      </c>
      <c r="H447" s="6">
        <v>38352</v>
      </c>
    </row>
    <row r="448" spans="1:8" ht="11.25">
      <c r="A448" s="3">
        <f t="shared" si="6"/>
        <v>446</v>
      </c>
      <c r="B448" s="4" t="s">
        <v>213</v>
      </c>
      <c r="C448" s="3">
        <v>7714522100</v>
      </c>
      <c r="D448" s="5">
        <f>2142306931.28/(30*1000000)</f>
        <v>71.41023104266667</v>
      </c>
      <c r="E448" s="5">
        <f>93621007.33/(30*1000000)</f>
        <v>3.1207002443333334</v>
      </c>
      <c r="F448" s="5">
        <f>802117/(30*1000000)</f>
        <v>0.026737233333333332</v>
      </c>
      <c r="G448" s="6">
        <v>37991</v>
      </c>
      <c r="H448" s="6">
        <v>38344</v>
      </c>
    </row>
    <row r="449" spans="1:8" ht="11.25">
      <c r="A449" s="3">
        <f t="shared" si="6"/>
        <v>447</v>
      </c>
      <c r="B449" s="4" t="s">
        <v>195</v>
      </c>
      <c r="C449" s="3">
        <v>507022178</v>
      </c>
      <c r="D449" s="5">
        <f>2136389556.32/(30*1000000)</f>
        <v>71.21298521066666</v>
      </c>
      <c r="E449" s="5">
        <f>1552031636/(30*1000000)</f>
        <v>51.734387866666665</v>
      </c>
      <c r="F449" s="5">
        <f>13365/(30*1000000)</f>
        <v>0.0004455</v>
      </c>
      <c r="G449" s="6">
        <v>37995</v>
      </c>
      <c r="H449" s="6">
        <v>38351</v>
      </c>
    </row>
    <row r="450" spans="1:8" ht="11.25">
      <c r="A450" s="3">
        <f t="shared" si="6"/>
        <v>448</v>
      </c>
      <c r="B450" s="4" t="s">
        <v>1287</v>
      </c>
      <c r="C450" s="3">
        <v>8001008825</v>
      </c>
      <c r="D450" s="5">
        <f>2131320118.6/(30*1000000)</f>
        <v>71.04400395333333</v>
      </c>
      <c r="E450" s="5">
        <f>1832094381.54/(30*1000000)</f>
        <v>61.069812718</v>
      </c>
      <c r="F450" s="5">
        <f>3843/(30*1000000)</f>
        <v>0.0001281</v>
      </c>
      <c r="G450" s="6">
        <v>38197</v>
      </c>
      <c r="H450" s="6">
        <v>38344</v>
      </c>
    </row>
    <row r="451" spans="1:8" ht="11.25">
      <c r="A451" s="3">
        <f t="shared" si="6"/>
        <v>449</v>
      </c>
      <c r="B451" s="4" t="s">
        <v>390</v>
      </c>
      <c r="C451" s="3">
        <v>7719281096</v>
      </c>
      <c r="D451" s="5">
        <f>2126631169.92/(30*1000000)</f>
        <v>70.88770566400001</v>
      </c>
      <c r="E451" s="5">
        <f>1982000756.59/(30*1000000)</f>
        <v>66.06669188633333</v>
      </c>
      <c r="F451" s="5">
        <f>9383/(30*1000000)</f>
        <v>0.00031276666666666666</v>
      </c>
      <c r="G451" s="6">
        <v>37966</v>
      </c>
      <c r="H451" s="6">
        <v>38285</v>
      </c>
    </row>
    <row r="452" spans="1:8" ht="11.25">
      <c r="A452" s="3">
        <f t="shared" si="6"/>
        <v>450</v>
      </c>
      <c r="B452" s="4" t="s">
        <v>391</v>
      </c>
      <c r="C452" s="3">
        <v>7707505947</v>
      </c>
      <c r="D452" s="5">
        <f>2122721575.41/(30*1000000)</f>
        <v>70.75738584700001</v>
      </c>
      <c r="E452" s="5">
        <f>143766991.09/(30*1000000)</f>
        <v>4.792233036333333</v>
      </c>
      <c r="F452" s="5">
        <f>1181850/(30*1000000)</f>
        <v>0.039395</v>
      </c>
      <c r="G452" s="6">
        <v>38006</v>
      </c>
      <c r="H452" s="6">
        <v>38348</v>
      </c>
    </row>
    <row r="453" spans="1:8" ht="11.25">
      <c r="A453" s="3">
        <f aca="true" t="shared" si="7" ref="A453:A502">1+A452</f>
        <v>451</v>
      </c>
      <c r="B453" s="4" t="s">
        <v>636</v>
      </c>
      <c r="C453" s="3">
        <v>7725197798</v>
      </c>
      <c r="D453" s="5">
        <f>2113833468.25/(30*1000000)</f>
        <v>70.46111560833333</v>
      </c>
      <c r="E453" s="5">
        <f>1210/(30*1000000)</f>
        <v>4.0333333333333336E-05</v>
      </c>
      <c r="F453" s="5">
        <f>1210/(30*1000000)</f>
        <v>4.0333333333333336E-05</v>
      </c>
      <c r="G453" s="6">
        <v>37641</v>
      </c>
      <c r="H453" s="6">
        <v>37847</v>
      </c>
    </row>
    <row r="454" spans="1:8" ht="11.25">
      <c r="A454" s="3">
        <f t="shared" si="7"/>
        <v>452</v>
      </c>
      <c r="B454" s="4" t="s">
        <v>244</v>
      </c>
      <c r="C454" s="3">
        <v>6166048946</v>
      </c>
      <c r="D454" s="5">
        <f>2112129106.38/(30*1000000)</f>
        <v>70.40430354600001</v>
      </c>
      <c r="E454" s="5">
        <f>121638757.7/(30*1000000)</f>
        <v>4.054625256666667</v>
      </c>
      <c r="F454" s="5">
        <f>0/(30*1000000)</f>
        <v>0</v>
      </c>
      <c r="G454" s="6">
        <v>38005</v>
      </c>
      <c r="H454" s="6">
        <v>38351</v>
      </c>
    </row>
    <row r="455" spans="1:8" ht="11.25">
      <c r="A455" s="3">
        <f t="shared" si="7"/>
        <v>453</v>
      </c>
      <c r="B455" s="4" t="s">
        <v>1346</v>
      </c>
      <c r="C455" s="3">
        <v>7724291607</v>
      </c>
      <c r="D455" s="5">
        <f>2109805109.07/(30*1000000)</f>
        <v>70.326836969</v>
      </c>
      <c r="E455" s="5">
        <f>1798057273.99/(30*1000000)</f>
        <v>59.935242466333335</v>
      </c>
      <c r="F455" s="5">
        <f>8942/(30*1000000)</f>
        <v>0.0002980666666666667</v>
      </c>
      <c r="G455" s="6">
        <v>38043</v>
      </c>
      <c r="H455" s="6">
        <v>38352</v>
      </c>
    </row>
    <row r="456" spans="1:8" ht="11.25">
      <c r="A456" s="3">
        <f t="shared" si="7"/>
        <v>454</v>
      </c>
      <c r="B456" s="4" t="s">
        <v>269</v>
      </c>
      <c r="C456" s="3">
        <v>7704244790</v>
      </c>
      <c r="D456" s="5">
        <f>2109506262.81/(30*1000000)</f>
        <v>70.316875427</v>
      </c>
      <c r="E456" s="5">
        <f>503829655.23/(30*1000000)</f>
        <v>16.794321841000002</v>
      </c>
      <c r="F456" s="5">
        <f>385120/(30*1000000)</f>
        <v>0.012837333333333333</v>
      </c>
      <c r="G456" s="6">
        <v>37625</v>
      </c>
      <c r="H456" s="6">
        <v>38352</v>
      </c>
    </row>
    <row r="457" spans="1:8" ht="11.25">
      <c r="A457" s="3">
        <f t="shared" si="7"/>
        <v>455</v>
      </c>
      <c r="B457" s="4" t="s">
        <v>542</v>
      </c>
      <c r="C457" s="3">
        <v>7714298152</v>
      </c>
      <c r="D457" s="5">
        <f>2107370953.64/(30*1000000)</f>
        <v>70.24569845466667</v>
      </c>
      <c r="E457" s="5">
        <f>665213060.76/(30*1000000)</f>
        <v>22.173768692</v>
      </c>
      <c r="F457" s="5">
        <f>19230/(30*1000000)</f>
        <v>0.000641</v>
      </c>
      <c r="G457" s="6">
        <v>37935</v>
      </c>
      <c r="H457" s="6">
        <v>38338</v>
      </c>
    </row>
    <row r="458" spans="1:8" ht="11.25">
      <c r="A458" s="3">
        <f t="shared" si="7"/>
        <v>456</v>
      </c>
      <c r="B458" s="4" t="s">
        <v>1300</v>
      </c>
      <c r="C458" s="3">
        <v>7736225493</v>
      </c>
      <c r="D458" s="5">
        <f>2106786603.32/(30*1000000)</f>
        <v>70.22622011066666</v>
      </c>
      <c r="E458" s="5">
        <f>1848687651.04/(30*1000000)</f>
        <v>61.62292170133333</v>
      </c>
      <c r="F458" s="5">
        <f>16565/(30*1000000)</f>
        <v>0.0005521666666666666</v>
      </c>
      <c r="G458" s="6">
        <v>37658</v>
      </c>
      <c r="H458" s="6">
        <v>38030</v>
      </c>
    </row>
    <row r="459" spans="1:8" ht="11.25">
      <c r="A459" s="3">
        <f t="shared" si="7"/>
        <v>457</v>
      </c>
      <c r="B459" s="4" t="s">
        <v>420</v>
      </c>
      <c r="C459" s="3">
        <v>7722274532</v>
      </c>
      <c r="D459" s="5">
        <f>2104137104.08/(30*1000000)</f>
        <v>70.13790346933332</v>
      </c>
      <c r="E459" s="5">
        <f>112685113.32/(30*1000000)</f>
        <v>3.756170444</v>
      </c>
      <c r="F459" s="5">
        <f>0/(30*1000000)</f>
        <v>0</v>
      </c>
      <c r="G459" s="6">
        <v>37802</v>
      </c>
      <c r="H459" s="6">
        <v>37985</v>
      </c>
    </row>
    <row r="460" spans="1:8" ht="11.25">
      <c r="A460" s="3">
        <f t="shared" si="7"/>
        <v>458</v>
      </c>
      <c r="B460" s="4" t="s">
        <v>172</v>
      </c>
      <c r="C460" s="3">
        <v>7705493076</v>
      </c>
      <c r="D460" s="5">
        <f>2098830932.31/(30*1000000)</f>
        <v>69.961031077</v>
      </c>
      <c r="E460" s="5">
        <f>1313445470.82/(30*1000000)</f>
        <v>43.781515694</v>
      </c>
      <c r="F460" s="5">
        <f>193505/(30*1000000)</f>
        <v>0.0064501666666666665</v>
      </c>
      <c r="G460" s="6">
        <v>37819</v>
      </c>
      <c r="H460" s="6">
        <v>38344</v>
      </c>
    </row>
    <row r="461" spans="1:8" ht="11.25">
      <c r="A461" s="3">
        <f t="shared" si="7"/>
        <v>459</v>
      </c>
      <c r="B461" s="4" t="s">
        <v>363</v>
      </c>
      <c r="C461" s="3">
        <v>7801253373</v>
      </c>
      <c r="D461" s="5">
        <f>2090912532.23/(30*1000000)</f>
        <v>69.69708440766667</v>
      </c>
      <c r="E461" s="5">
        <f>155703512.28/(30*1000000)</f>
        <v>5.190117076</v>
      </c>
      <c r="F461" s="5">
        <f>428/(30*1000000)</f>
        <v>1.4266666666666667E-05</v>
      </c>
      <c r="G461" s="6">
        <v>38020</v>
      </c>
      <c r="H461" s="6">
        <v>38352</v>
      </c>
    </row>
    <row r="462" spans="1:8" ht="11.25">
      <c r="A462" s="3">
        <f t="shared" si="7"/>
        <v>460</v>
      </c>
      <c r="B462" s="4" t="s">
        <v>683</v>
      </c>
      <c r="C462" s="3">
        <v>7724228933</v>
      </c>
      <c r="D462" s="5">
        <f>2090892073.04/(30*1000000)</f>
        <v>69.69640243466667</v>
      </c>
      <c r="E462" s="5">
        <f>939511597.08/(30*1000000)</f>
        <v>31.317053236000003</v>
      </c>
      <c r="F462" s="5">
        <f>668716/(30*1000000)</f>
        <v>0.022290533333333334</v>
      </c>
      <c r="G462" s="6">
        <v>37625</v>
      </c>
      <c r="H462" s="6">
        <v>38352</v>
      </c>
    </row>
    <row r="463" spans="1:8" ht="22.5">
      <c r="A463" s="3">
        <f t="shared" si="7"/>
        <v>461</v>
      </c>
      <c r="B463" s="4" t="s">
        <v>385</v>
      </c>
      <c r="C463" s="3">
        <v>7710533165</v>
      </c>
      <c r="D463" s="5">
        <f>2088766747.95/(30*1000000)</f>
        <v>69.625558265</v>
      </c>
      <c r="E463" s="5">
        <f>1028122005.88/(30*1000000)</f>
        <v>34.270733529333334</v>
      </c>
      <c r="F463" s="5">
        <f>308386/(30*1000000)</f>
        <v>0.010279533333333334</v>
      </c>
      <c r="G463" s="6">
        <v>38201</v>
      </c>
      <c r="H463" s="6">
        <v>38352</v>
      </c>
    </row>
    <row r="464" spans="1:8" ht="11.25">
      <c r="A464" s="3">
        <f t="shared" si="7"/>
        <v>462</v>
      </c>
      <c r="B464" s="4" t="s">
        <v>283</v>
      </c>
      <c r="C464" s="3">
        <v>7715396191</v>
      </c>
      <c r="D464" s="5">
        <f>2083256751.73/(30*1000000)</f>
        <v>69.44189172433333</v>
      </c>
      <c r="E464" s="5">
        <f>1432363295.67/(30*1000000)</f>
        <v>47.745443189</v>
      </c>
      <c r="F464" s="5">
        <f>539144/(30*1000000)</f>
        <v>0.017971466666666668</v>
      </c>
      <c r="G464" s="6">
        <v>37942</v>
      </c>
      <c r="H464" s="6">
        <v>38352</v>
      </c>
    </row>
    <row r="465" spans="1:8" ht="22.5">
      <c r="A465" s="3">
        <f t="shared" si="7"/>
        <v>463</v>
      </c>
      <c r="B465" s="4" t="s">
        <v>277</v>
      </c>
      <c r="C465" s="3">
        <v>7705465784</v>
      </c>
      <c r="D465" s="5">
        <f>2080524225.96/(30*1000000)</f>
        <v>69.350807532</v>
      </c>
      <c r="E465" s="5">
        <f>159472687.84/(30*1000000)</f>
        <v>5.315756261333333</v>
      </c>
      <c r="F465" s="5">
        <f>77300/(30*1000000)</f>
        <v>0.0025766666666666668</v>
      </c>
      <c r="G465" s="6">
        <v>37651</v>
      </c>
      <c r="H465" s="6">
        <v>38006</v>
      </c>
    </row>
    <row r="466" spans="1:8" ht="11.25">
      <c r="A466" s="3">
        <f t="shared" si="7"/>
        <v>464</v>
      </c>
      <c r="B466" s="4" t="s">
        <v>643</v>
      </c>
      <c r="C466" s="3">
        <v>7733138820</v>
      </c>
      <c r="D466" s="5">
        <f>2075153101/(30*1000000)</f>
        <v>69.17177003333333</v>
      </c>
      <c r="E466" s="5">
        <f>6226137.54/(30*1000000)</f>
        <v>0.207537918</v>
      </c>
      <c r="F466" s="5">
        <f>4530/(30*1000000)</f>
        <v>0.000151</v>
      </c>
      <c r="G466" s="6">
        <v>37658</v>
      </c>
      <c r="H466" s="6">
        <v>37909</v>
      </c>
    </row>
    <row r="467" spans="1:8" ht="11.25">
      <c r="A467" s="3">
        <f t="shared" si="7"/>
        <v>465</v>
      </c>
      <c r="B467" s="4" t="s">
        <v>1299</v>
      </c>
      <c r="C467" s="3">
        <v>7736210056</v>
      </c>
      <c r="D467" s="5">
        <f>2074042149.4/(30*1000000)</f>
        <v>69.13473831333333</v>
      </c>
      <c r="E467" s="5">
        <f>1313453010.64/(30*1000000)</f>
        <v>43.78176702133334</v>
      </c>
      <c r="F467" s="5">
        <f>8000/(30*1000000)</f>
        <v>0.0002666666666666667</v>
      </c>
      <c r="G467" s="6">
        <v>37833</v>
      </c>
      <c r="H467" s="6">
        <v>38345</v>
      </c>
    </row>
    <row r="468" spans="1:8" ht="11.25">
      <c r="A468" s="3">
        <f t="shared" si="7"/>
        <v>466</v>
      </c>
      <c r="B468" s="4" t="s">
        <v>214</v>
      </c>
      <c r="C468" s="3">
        <v>7713520693</v>
      </c>
      <c r="D468" s="5">
        <f>2069233762.52/(30*1000000)</f>
        <v>68.97445875066667</v>
      </c>
      <c r="E468" s="5">
        <f>637037645.16/(30*1000000)</f>
        <v>21.234588172</v>
      </c>
      <c r="F468" s="5">
        <f>70375/(30*1000000)</f>
        <v>0.0023458333333333335</v>
      </c>
      <c r="G468" s="6">
        <v>38070</v>
      </c>
      <c r="H468" s="6">
        <v>38352</v>
      </c>
    </row>
    <row r="469" spans="1:8" ht="11.25">
      <c r="A469" s="3">
        <f t="shared" si="7"/>
        <v>467</v>
      </c>
      <c r="B469" s="4" t="s">
        <v>221</v>
      </c>
      <c r="C469" s="3">
        <v>7816201353</v>
      </c>
      <c r="D469" s="5">
        <f>2068929772.6/(30*1000000)</f>
        <v>68.96432575333333</v>
      </c>
      <c r="E469" s="5">
        <f>419877452.79/(30*1000000)</f>
        <v>13.995915093</v>
      </c>
      <c r="F469" s="5">
        <f>0/(30*1000000)</f>
        <v>0</v>
      </c>
      <c r="G469" s="6">
        <v>37631</v>
      </c>
      <c r="H469" s="6">
        <v>38148</v>
      </c>
    </row>
    <row r="470" spans="1:8" ht="11.25">
      <c r="A470" s="3">
        <f t="shared" si="7"/>
        <v>468</v>
      </c>
      <c r="B470" s="4" t="s">
        <v>253</v>
      </c>
      <c r="C470" s="3">
        <v>7701525584</v>
      </c>
      <c r="D470" s="5">
        <f>2059669526.67/(30*1000000)</f>
        <v>68.655650889</v>
      </c>
      <c r="E470" s="5">
        <f>945550467.88/(30*1000000)</f>
        <v>31.51834892933333</v>
      </c>
      <c r="F470" s="5">
        <f>0/(30*1000000)</f>
        <v>0</v>
      </c>
      <c r="G470" s="6">
        <v>38089</v>
      </c>
      <c r="H470" s="6">
        <v>38343</v>
      </c>
    </row>
    <row r="471" spans="1:8" ht="11.25">
      <c r="A471" s="3">
        <f t="shared" si="7"/>
        <v>469</v>
      </c>
      <c r="B471" s="4" t="s">
        <v>266</v>
      </c>
      <c r="C471" s="3">
        <v>515009501</v>
      </c>
      <c r="D471" s="5">
        <f>2057863137.01/(30*1000000)</f>
        <v>68.59543790033334</v>
      </c>
      <c r="E471" s="5">
        <f>1394453460.11/(30*1000000)</f>
        <v>46.481782003666666</v>
      </c>
      <c r="F471" s="5">
        <f>0/(30*1000000)</f>
        <v>0</v>
      </c>
      <c r="G471" s="6">
        <v>37625</v>
      </c>
      <c r="H471" s="6">
        <v>38120</v>
      </c>
    </row>
    <row r="472" spans="1:8" ht="11.25">
      <c r="A472" s="3">
        <f t="shared" si="7"/>
        <v>470</v>
      </c>
      <c r="B472" s="4" t="s">
        <v>1308</v>
      </c>
      <c r="C472" s="3">
        <v>7715374663</v>
      </c>
      <c r="D472" s="5">
        <f>2054545040.21/(30*1000000)</f>
        <v>68.48483467366667</v>
      </c>
      <c r="E472" s="5">
        <f>1328737756.38/(30*1000000)</f>
        <v>44.291258546</v>
      </c>
      <c r="F472" s="5">
        <f>628752/(30*1000000)</f>
        <v>0.0209584</v>
      </c>
      <c r="G472" s="6">
        <v>38000</v>
      </c>
      <c r="H472" s="6">
        <v>38352</v>
      </c>
    </row>
    <row r="473" spans="1:8" ht="11.25">
      <c r="A473" s="3">
        <f t="shared" si="7"/>
        <v>471</v>
      </c>
      <c r="B473" s="4" t="s">
        <v>154</v>
      </c>
      <c r="C473" s="3">
        <v>7702334494</v>
      </c>
      <c r="D473" s="5">
        <f>2046227781.28/(30*1000000)</f>
        <v>68.20759270933333</v>
      </c>
      <c r="E473" s="5">
        <f>1843220290/(30*1000000)</f>
        <v>61.440676333333336</v>
      </c>
      <c r="F473" s="5">
        <f>13940/(30*1000000)</f>
        <v>0.00046466666666666667</v>
      </c>
      <c r="G473" s="6">
        <v>37641</v>
      </c>
      <c r="H473" s="6">
        <v>38043</v>
      </c>
    </row>
    <row r="474" spans="1:8" ht="11.25">
      <c r="A474" s="3">
        <f t="shared" si="7"/>
        <v>472</v>
      </c>
      <c r="B474" s="4" t="s">
        <v>662</v>
      </c>
      <c r="C474" s="3">
        <v>8001008720</v>
      </c>
      <c r="D474" s="5">
        <f>2042990303.85/(30*1000000)</f>
        <v>68.099676795</v>
      </c>
      <c r="E474" s="5">
        <f>724566334.78/(30*1000000)</f>
        <v>24.152211159333334</v>
      </c>
      <c r="F474" s="5">
        <f>4485/(30*1000000)</f>
        <v>0.0001495</v>
      </c>
      <c r="G474" s="6">
        <v>38197</v>
      </c>
      <c r="H474" s="6">
        <v>38350</v>
      </c>
    </row>
    <row r="475" spans="1:8" ht="11.25">
      <c r="A475" s="3">
        <f t="shared" si="7"/>
        <v>473</v>
      </c>
      <c r="B475" s="4" t="s">
        <v>370</v>
      </c>
      <c r="C475" s="3">
        <v>7710449876</v>
      </c>
      <c r="D475" s="5">
        <f>2037730731.53/(30*1000000)</f>
        <v>67.92435771766667</v>
      </c>
      <c r="E475" s="5">
        <f>307727099.85/(30*1000000)</f>
        <v>10.257569995</v>
      </c>
      <c r="F475" s="5">
        <f>523803/(30*1000000)</f>
        <v>0.0174601</v>
      </c>
      <c r="G475" s="6">
        <v>37817</v>
      </c>
      <c r="H475" s="6">
        <v>38329</v>
      </c>
    </row>
    <row r="476" spans="1:8" ht="11.25">
      <c r="A476" s="3">
        <f t="shared" si="7"/>
        <v>474</v>
      </c>
      <c r="B476" s="4" t="s">
        <v>677</v>
      </c>
      <c r="C476" s="3">
        <v>7714271087</v>
      </c>
      <c r="D476" s="5">
        <f>2034436576.31/(30*1000000)</f>
        <v>67.81455254366666</v>
      </c>
      <c r="E476" s="5">
        <f>13066025.2/(30*1000000)</f>
        <v>0.43553417333333333</v>
      </c>
      <c r="F476" s="5">
        <f>1067669/(30*1000000)</f>
        <v>0.035588966666666666</v>
      </c>
      <c r="G476" s="6">
        <v>37664</v>
      </c>
      <c r="H476" s="6">
        <v>38348</v>
      </c>
    </row>
    <row r="477" spans="1:8" ht="11.25">
      <c r="A477" s="3">
        <f t="shared" si="7"/>
        <v>475</v>
      </c>
      <c r="B477" s="4" t="s">
        <v>416</v>
      </c>
      <c r="C477" s="3">
        <v>7721263312</v>
      </c>
      <c r="D477" s="5">
        <f>2033022773.63/(30*1000000)</f>
        <v>67.76742578766667</v>
      </c>
      <c r="E477" s="5">
        <f>7482903.8/(30*1000000)</f>
        <v>0.24943012666666667</v>
      </c>
      <c r="F477" s="5">
        <f>70333/(30*1000000)</f>
        <v>0.0023444333333333335</v>
      </c>
      <c r="G477" s="6">
        <v>38013</v>
      </c>
      <c r="H477" s="6">
        <v>38351</v>
      </c>
    </row>
    <row r="478" spans="1:8" ht="11.25">
      <c r="A478" s="3">
        <f t="shared" si="7"/>
        <v>476</v>
      </c>
      <c r="B478" s="4" t="s">
        <v>376</v>
      </c>
      <c r="C478" s="3">
        <v>7705426182</v>
      </c>
      <c r="D478" s="5">
        <f>2030614419.53/(30*1000000)</f>
        <v>67.68714731766667</v>
      </c>
      <c r="E478" s="5">
        <f>33003812.28/(30*1000000)</f>
        <v>1.1001270760000001</v>
      </c>
      <c r="F478" s="5">
        <f>13635/(30*1000000)</f>
        <v>0.0004545</v>
      </c>
      <c r="G478" s="6">
        <v>37625</v>
      </c>
      <c r="H478" s="6">
        <v>37991</v>
      </c>
    </row>
    <row r="479" spans="1:8" ht="11.25">
      <c r="A479" s="3">
        <f t="shared" si="7"/>
        <v>477</v>
      </c>
      <c r="B479" s="4" t="s">
        <v>177</v>
      </c>
      <c r="C479" s="3">
        <v>7709362324</v>
      </c>
      <c r="D479" s="5">
        <f>2030426572.88/(30*1000000)</f>
        <v>67.68088576266668</v>
      </c>
      <c r="E479" s="5">
        <f>1331925466.88/(30*1000000)</f>
        <v>44.39751556266667</v>
      </c>
      <c r="F479" s="5">
        <f>27000/(30*1000000)</f>
        <v>0.0009</v>
      </c>
      <c r="G479" s="6">
        <v>37625</v>
      </c>
      <c r="H479" s="6">
        <v>37922</v>
      </c>
    </row>
    <row r="480" spans="1:8" ht="11.25">
      <c r="A480" s="3">
        <f t="shared" si="7"/>
        <v>478</v>
      </c>
      <c r="B480" s="4" t="s">
        <v>299</v>
      </c>
      <c r="C480" s="3">
        <v>7705498405</v>
      </c>
      <c r="D480" s="5">
        <f>2030401029.62/(30*1000000)</f>
        <v>67.68003432066666</v>
      </c>
      <c r="E480" s="5">
        <f>373169111.64/(30*1000000)</f>
        <v>12.438970388</v>
      </c>
      <c r="F480" s="5">
        <f>594976/(30*1000000)</f>
        <v>0.019832533333333333</v>
      </c>
      <c r="G480" s="6">
        <v>37831</v>
      </c>
      <c r="H480" s="6">
        <v>38320</v>
      </c>
    </row>
    <row r="481" spans="1:8" ht="11.25">
      <c r="A481" s="3">
        <f t="shared" si="7"/>
        <v>479</v>
      </c>
      <c r="B481" s="4" t="s">
        <v>598</v>
      </c>
      <c r="C481" s="3">
        <v>7733127530</v>
      </c>
      <c r="D481" s="5">
        <f>2025748113.27/(30*1000000)</f>
        <v>67.52493710899999</v>
      </c>
      <c r="E481" s="5">
        <f>15532308.92/(30*1000000)</f>
        <v>0.5177436306666666</v>
      </c>
      <c r="F481" s="5">
        <f>360291/(30*1000000)</f>
        <v>0.0120097</v>
      </c>
      <c r="G481" s="6">
        <v>37625</v>
      </c>
      <c r="H481" s="6">
        <v>37827</v>
      </c>
    </row>
    <row r="482" spans="1:8" ht="22.5">
      <c r="A482" s="3">
        <f t="shared" si="7"/>
        <v>480</v>
      </c>
      <c r="B482" s="4" t="s">
        <v>641</v>
      </c>
      <c r="C482" s="3">
        <v>7743071614</v>
      </c>
      <c r="D482" s="5">
        <f>2024645000/(30*1000000)</f>
        <v>67.48816666666667</v>
      </c>
      <c r="E482" s="5">
        <f>87292065.48/(30*1000000)</f>
        <v>2.909735516</v>
      </c>
      <c r="F482" s="5">
        <f>47664/(30*1000000)</f>
        <v>0.0015888</v>
      </c>
      <c r="G482" s="6">
        <v>37712</v>
      </c>
      <c r="H482" s="6">
        <v>38061</v>
      </c>
    </row>
    <row r="483" spans="1:8" ht="11.25">
      <c r="A483" s="3">
        <f t="shared" si="7"/>
        <v>481</v>
      </c>
      <c r="B483" s="4" t="s">
        <v>298</v>
      </c>
      <c r="C483" s="3">
        <v>7705496528</v>
      </c>
      <c r="D483" s="5">
        <f>2016170936.48/(30*1000000)</f>
        <v>67.20569788266667</v>
      </c>
      <c r="E483" s="5">
        <f>905768241.56/(30*1000000)</f>
        <v>30.192274718666663</v>
      </c>
      <c r="F483" s="5">
        <f>2121/(30*1000000)</f>
        <v>7.07E-05</v>
      </c>
      <c r="G483" s="6">
        <v>38124</v>
      </c>
      <c r="H483" s="6">
        <v>38338</v>
      </c>
    </row>
    <row r="484" spans="1:8" ht="11.25">
      <c r="A484" s="3">
        <f t="shared" si="7"/>
        <v>482</v>
      </c>
      <c r="B484" s="4" t="s">
        <v>570</v>
      </c>
      <c r="C484" s="3">
        <v>7723330194</v>
      </c>
      <c r="D484" s="5">
        <f>2014183294.98/(30*1000000)</f>
        <v>67.139443166</v>
      </c>
      <c r="E484" s="5">
        <f>948693112.03/(30*1000000)</f>
        <v>31.623103734333334</v>
      </c>
      <c r="F484" s="5">
        <f>17985/(30*1000000)</f>
        <v>0.0005995</v>
      </c>
      <c r="G484" s="6">
        <v>37908</v>
      </c>
      <c r="H484" s="6">
        <v>38349</v>
      </c>
    </row>
    <row r="485" spans="1:8" ht="11.25">
      <c r="A485" s="3">
        <f t="shared" si="7"/>
        <v>483</v>
      </c>
      <c r="B485" s="4" t="s">
        <v>587</v>
      </c>
      <c r="C485" s="3">
        <v>7720501620</v>
      </c>
      <c r="D485" s="5">
        <f>2012663026.56/(30*1000000)</f>
        <v>67.088767552</v>
      </c>
      <c r="E485" s="5">
        <f>323805053.71/(30*1000000)</f>
        <v>10.793501790333332</v>
      </c>
      <c r="F485" s="5">
        <f>168100/(30*1000000)</f>
        <v>0.005603333333333333</v>
      </c>
      <c r="G485" s="6">
        <v>38103</v>
      </c>
      <c r="H485" s="6">
        <v>38352</v>
      </c>
    </row>
    <row r="486" spans="1:8" ht="11.25">
      <c r="A486" s="3">
        <f t="shared" si="7"/>
        <v>484</v>
      </c>
      <c r="B486" s="4" t="s">
        <v>206</v>
      </c>
      <c r="C486" s="3">
        <v>411101478</v>
      </c>
      <c r="D486" s="5">
        <f>2009691391.04/(30*1000000)</f>
        <v>66.98971303466666</v>
      </c>
      <c r="E486" s="5">
        <f>401847335.1/(30*1000000)</f>
        <v>13.39491117</v>
      </c>
      <c r="F486" s="5">
        <f>368353/(30*1000000)</f>
        <v>0.012278433333333333</v>
      </c>
      <c r="G486" s="6">
        <v>37629</v>
      </c>
      <c r="H486" s="6">
        <v>37859</v>
      </c>
    </row>
    <row r="487" spans="1:8" ht="11.25">
      <c r="A487" s="3">
        <f t="shared" si="7"/>
        <v>485</v>
      </c>
      <c r="B487" s="4" t="s">
        <v>635</v>
      </c>
      <c r="C487" s="3">
        <v>7725189765</v>
      </c>
      <c r="D487" s="5">
        <f>2009103328.36/(30*1000000)</f>
        <v>66.97011094533333</v>
      </c>
      <c r="E487" s="5">
        <f>148155680.63/(30*1000000)</f>
        <v>4.938522687666667</v>
      </c>
      <c r="F487" s="5">
        <f>11428/(30*1000000)</f>
        <v>0.00038093333333333334</v>
      </c>
      <c r="G487" s="6">
        <v>37659</v>
      </c>
      <c r="H487" s="6">
        <v>37953</v>
      </c>
    </row>
    <row r="488" spans="1:8" ht="11.25">
      <c r="A488" s="3">
        <f t="shared" si="7"/>
        <v>486</v>
      </c>
      <c r="B488" s="4" t="s">
        <v>549</v>
      </c>
      <c r="C488" s="3">
        <v>7709504177</v>
      </c>
      <c r="D488" s="5">
        <f>1995881290.78/(30*1000000)</f>
        <v>66.52937635933333</v>
      </c>
      <c r="E488" s="5">
        <f>44513492.8/(30*1000000)</f>
        <v>1.4837830933333331</v>
      </c>
      <c r="F488" s="5">
        <f>39379/(30*1000000)</f>
        <v>0.0013126333333333333</v>
      </c>
      <c r="G488" s="6">
        <v>37929</v>
      </c>
      <c r="H488" s="6">
        <v>38351</v>
      </c>
    </row>
    <row r="489" spans="1:8" ht="11.25">
      <c r="A489" s="3">
        <f t="shared" si="7"/>
        <v>487</v>
      </c>
      <c r="B489" s="4" t="s">
        <v>418</v>
      </c>
      <c r="C489" s="3">
        <v>7722260667</v>
      </c>
      <c r="D489" s="5">
        <f>1992224155.59/(30*1000000)</f>
        <v>66.407471853</v>
      </c>
      <c r="E489" s="5">
        <f>477868662.93/(30*1000000)</f>
        <v>15.928955431</v>
      </c>
      <c r="F489" s="5">
        <f>399723/(30*1000000)</f>
        <v>0.0133241</v>
      </c>
      <c r="G489" s="6">
        <v>37625</v>
      </c>
      <c r="H489" s="6">
        <v>38020</v>
      </c>
    </row>
    <row r="490" spans="1:8" ht="11.25">
      <c r="A490" s="3">
        <f t="shared" si="7"/>
        <v>488</v>
      </c>
      <c r="B490" s="4" t="s">
        <v>602</v>
      </c>
      <c r="C490" s="3">
        <v>7715518611</v>
      </c>
      <c r="D490" s="5">
        <f>1987752398.71/(30*1000000)</f>
        <v>66.25841329033334</v>
      </c>
      <c r="E490" s="5">
        <f>97882803.46/(30*1000000)</f>
        <v>3.262760115333333</v>
      </c>
      <c r="F490" s="5">
        <f>160947/(30*1000000)</f>
        <v>0.0053649</v>
      </c>
      <c r="G490" s="6">
        <v>38253</v>
      </c>
      <c r="H490" s="6">
        <v>38351</v>
      </c>
    </row>
    <row r="491" spans="1:8" ht="11.25">
      <c r="A491" s="3">
        <f t="shared" si="7"/>
        <v>489</v>
      </c>
      <c r="B491" s="4" t="s">
        <v>1260</v>
      </c>
      <c r="C491" s="3">
        <v>7707319644</v>
      </c>
      <c r="D491" s="5">
        <f>1987157287.39/(30*1000000)</f>
        <v>66.23857624633334</v>
      </c>
      <c r="E491" s="5">
        <f>76843/(30*1000000)</f>
        <v>0.0025614333333333333</v>
      </c>
      <c r="F491" s="5">
        <f>6843/(30*1000000)</f>
        <v>0.0002281</v>
      </c>
      <c r="G491" s="6">
        <v>37953</v>
      </c>
      <c r="H491" s="6">
        <v>38306</v>
      </c>
    </row>
    <row r="492" spans="1:8" ht="11.25">
      <c r="A492" s="3">
        <f t="shared" si="7"/>
        <v>490</v>
      </c>
      <c r="B492" s="4" t="s">
        <v>1261</v>
      </c>
      <c r="C492" s="3">
        <v>7715514984</v>
      </c>
      <c r="D492" s="5">
        <f>1975532700/(30*1000000)</f>
        <v>65.85109</v>
      </c>
      <c r="E492" s="5">
        <f>1830817733.21/(30*1000000)</f>
        <v>61.02725777366667</v>
      </c>
      <c r="F492" s="5">
        <f>104972/(30*1000000)</f>
        <v>0.0034990666666666666</v>
      </c>
      <c r="G492" s="6">
        <v>38147</v>
      </c>
      <c r="H492" s="6">
        <v>38350</v>
      </c>
    </row>
    <row r="493" spans="1:8" ht="11.25">
      <c r="A493" s="3">
        <f t="shared" si="7"/>
        <v>491</v>
      </c>
      <c r="B493" s="4" t="s">
        <v>622</v>
      </c>
      <c r="C493" s="3">
        <v>7727250260</v>
      </c>
      <c r="D493" s="5">
        <f>1965775188.07/(30*1000000)</f>
        <v>65.52583960233333</v>
      </c>
      <c r="E493" s="5">
        <f>8757995.32/(30*1000000)</f>
        <v>0.29193317733333335</v>
      </c>
      <c r="F493" s="5">
        <f>9115/(30*1000000)</f>
        <v>0.0003038333333333333</v>
      </c>
      <c r="G493" s="6">
        <v>37938</v>
      </c>
      <c r="H493" s="6">
        <v>38351</v>
      </c>
    </row>
    <row r="494" spans="1:8" ht="22.5">
      <c r="A494" s="3">
        <f t="shared" si="7"/>
        <v>492</v>
      </c>
      <c r="B494" s="4" t="s">
        <v>558</v>
      </c>
      <c r="C494" s="3">
        <v>7719241304</v>
      </c>
      <c r="D494" s="5">
        <f>1963249763.21/(30*1000000)</f>
        <v>65.44165877366667</v>
      </c>
      <c r="E494" s="5">
        <f>5386216.3/(30*1000000)</f>
        <v>0.17954054333333333</v>
      </c>
      <c r="F494" s="5">
        <f>2276/(30*1000000)</f>
        <v>7.586666666666666E-05</v>
      </c>
      <c r="G494" s="6">
        <v>37626</v>
      </c>
      <c r="H494" s="6">
        <v>37931</v>
      </c>
    </row>
    <row r="495" spans="1:8" ht="22.5">
      <c r="A495" s="3">
        <f t="shared" si="7"/>
        <v>493</v>
      </c>
      <c r="B495" s="4" t="s">
        <v>258</v>
      </c>
      <c r="C495" s="3">
        <v>7714243717</v>
      </c>
      <c r="D495" s="5">
        <f>1962418562.76/(30*1000000)</f>
        <v>65.413952092</v>
      </c>
      <c r="E495" s="5">
        <f>4806635.4/(30*1000000)</f>
        <v>0.16022118000000002</v>
      </c>
      <c r="F495" s="5">
        <f>2404/(30*1000000)</f>
        <v>8.013333333333333E-05</v>
      </c>
      <c r="G495" s="6">
        <v>37714</v>
      </c>
      <c r="H495" s="6">
        <v>38175</v>
      </c>
    </row>
    <row r="496" spans="1:8" ht="11.25">
      <c r="A496" s="3">
        <f t="shared" si="7"/>
        <v>494</v>
      </c>
      <c r="B496" s="4" t="s">
        <v>161</v>
      </c>
      <c r="C496" s="3">
        <v>7703511033</v>
      </c>
      <c r="D496" s="5">
        <f>1960015596.16/(30*1000000)</f>
        <v>65.33385320533334</v>
      </c>
      <c r="E496" s="5">
        <f>1754792346.21/(30*1000000)</f>
        <v>58.493078207</v>
      </c>
      <c r="F496" s="5">
        <f>0/(30*1000000)</f>
        <v>0</v>
      </c>
      <c r="G496" s="6">
        <v>38085</v>
      </c>
      <c r="H496" s="6">
        <v>38352</v>
      </c>
    </row>
    <row r="497" spans="1:8" ht="11.25">
      <c r="A497" s="3">
        <f t="shared" si="7"/>
        <v>495</v>
      </c>
      <c r="B497" s="4" t="s">
        <v>684</v>
      </c>
      <c r="C497" s="3">
        <v>7725167641</v>
      </c>
      <c r="D497" s="5">
        <f>1958058741.45/(30*1000000)</f>
        <v>65.268624715</v>
      </c>
      <c r="E497" s="5">
        <f>921172346.05/(30*1000000)</f>
        <v>30.705744868333333</v>
      </c>
      <c r="F497" s="5">
        <f>379530/(30*1000000)</f>
        <v>0.012651</v>
      </c>
      <c r="G497" s="6">
        <v>37625</v>
      </c>
      <c r="H497" s="6">
        <v>38352</v>
      </c>
    </row>
    <row r="498" spans="1:8" ht="22.5">
      <c r="A498" s="3">
        <f t="shared" si="7"/>
        <v>496</v>
      </c>
      <c r="B498" s="4" t="s">
        <v>276</v>
      </c>
      <c r="C498" s="3">
        <v>7705463106</v>
      </c>
      <c r="D498" s="5">
        <f>1954391961.91/(30*1000000)</f>
        <v>65.14639873033333</v>
      </c>
      <c r="E498" s="5">
        <f>333210242.17/(30*1000000)</f>
        <v>11.107008072333334</v>
      </c>
      <c r="F498" s="5">
        <f>61421/(30*1000000)</f>
        <v>0.002047366666666667</v>
      </c>
      <c r="G498" s="6">
        <v>37630</v>
      </c>
      <c r="H498" s="6">
        <v>38352</v>
      </c>
    </row>
    <row r="499" spans="1:8" ht="22.5">
      <c r="A499" s="3">
        <f t="shared" si="7"/>
        <v>497</v>
      </c>
      <c r="B499" s="4" t="s">
        <v>1316</v>
      </c>
      <c r="C499" s="3">
        <v>7743511777</v>
      </c>
      <c r="D499" s="5">
        <f>1953498311.69/(30*1000000)</f>
        <v>65.11661038966668</v>
      </c>
      <c r="E499" s="5">
        <f>1488635670.48/(30*1000000)</f>
        <v>49.621189016</v>
      </c>
      <c r="F499" s="5">
        <f>206932/(30*1000000)</f>
        <v>0.006897733333333334</v>
      </c>
      <c r="G499" s="6">
        <v>38132</v>
      </c>
      <c r="H499" s="6">
        <v>38352</v>
      </c>
    </row>
    <row r="500" spans="1:8" ht="22.5">
      <c r="A500" s="3">
        <f t="shared" si="7"/>
        <v>498</v>
      </c>
      <c r="B500" s="4" t="s">
        <v>290</v>
      </c>
      <c r="C500" s="3">
        <v>7702344630</v>
      </c>
      <c r="D500" s="5">
        <f>1952877977/(30*1000000)</f>
        <v>65.09593256666666</v>
      </c>
      <c r="E500" s="5">
        <f>1320625473.01/(30*1000000)</f>
        <v>44.020849100333336</v>
      </c>
      <c r="F500" s="5">
        <f>431991/(30*1000000)</f>
        <v>0.0143997</v>
      </c>
      <c r="G500" s="6">
        <v>37757</v>
      </c>
      <c r="H500" s="6">
        <v>38352</v>
      </c>
    </row>
    <row r="501" spans="1:8" ht="11.25">
      <c r="A501" s="3">
        <f t="shared" si="7"/>
        <v>499</v>
      </c>
      <c r="B501" s="4" t="s">
        <v>1262</v>
      </c>
      <c r="C501" s="3">
        <v>7743054256</v>
      </c>
      <c r="D501" s="5">
        <f>1951318556.51/(30*1000000)</f>
        <v>65.04395188366667</v>
      </c>
      <c r="E501" s="5">
        <f>5064469.27/(30*1000000)</f>
        <v>0.16881564233333332</v>
      </c>
      <c r="F501" s="5">
        <f>6608/(30*1000000)</f>
        <v>0.00022026666666666666</v>
      </c>
      <c r="G501" s="6">
        <v>37629</v>
      </c>
      <c r="H501" s="6">
        <v>38229</v>
      </c>
    </row>
    <row r="502" spans="1:8" ht="11.25">
      <c r="A502" s="3">
        <f t="shared" si="7"/>
        <v>500</v>
      </c>
      <c r="B502" s="4" t="s">
        <v>1263</v>
      </c>
      <c r="C502" s="3">
        <v>7722179776</v>
      </c>
      <c r="D502" s="5">
        <f>1948316493.7/(30*1000000)</f>
        <v>64.94388312333334</v>
      </c>
      <c r="E502" s="5">
        <f>3807816.02/(30*1000000)</f>
        <v>0.12692720066666666</v>
      </c>
      <c r="F502" s="5">
        <f>14156/(30*1000000)</f>
        <v>0.0004718666666666667</v>
      </c>
      <c r="G502" s="6">
        <v>37662</v>
      </c>
      <c r="H502" s="6">
        <v>38289</v>
      </c>
    </row>
  </sheetData>
  <printOptions/>
  <pageMargins left="0.75" right="0.75" top="1" bottom="1" header="0.5" footer="0.5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4"/>
  <dimension ref="A1:F502"/>
  <sheetViews>
    <sheetView workbookViewId="0" topLeftCell="A1">
      <selection activeCell="A105" sqref="A105"/>
    </sheetView>
  </sheetViews>
  <sheetFormatPr defaultColWidth="9.00390625" defaultRowHeight="12.75"/>
  <cols>
    <col min="1" max="1" width="4.375" style="4" customWidth="1"/>
    <col min="2" max="2" width="35.875" style="4" customWidth="1"/>
    <col min="3" max="3" width="11.875" style="4" customWidth="1"/>
    <col min="4" max="4" width="12.875" style="4" customWidth="1"/>
    <col min="5" max="5" width="10.375" style="4" customWidth="1"/>
    <col min="6" max="6" width="8.875" style="4" customWidth="1"/>
    <col min="7" max="7" width="9.00390625" style="4" bestFit="1" customWidth="1"/>
    <col min="8" max="16384" width="8.875" style="4" customWidth="1"/>
  </cols>
  <sheetData>
    <row r="1" ht="11.25">
      <c r="A1" s="3" t="s">
        <v>1153</v>
      </c>
    </row>
    <row r="2" spans="1:6" ht="33" customHeight="1">
      <c r="A2" s="4" t="s">
        <v>666</v>
      </c>
      <c r="B2" s="4" t="s">
        <v>656</v>
      </c>
      <c r="C2" s="4" t="s">
        <v>1277</v>
      </c>
      <c r="D2" s="10" t="s">
        <v>690</v>
      </c>
      <c r="E2" s="10" t="s">
        <v>691</v>
      </c>
      <c r="F2" s="4" t="s">
        <v>1196</v>
      </c>
    </row>
    <row r="3" spans="1:6" ht="22.5">
      <c r="A3" s="4">
        <v>1</v>
      </c>
      <c r="B3" s="4" t="s">
        <v>692</v>
      </c>
      <c r="C3" s="4">
        <v>7701292033</v>
      </c>
      <c r="D3" s="15">
        <v>1075.02355864</v>
      </c>
      <c r="E3" s="15">
        <v>45.746473869</v>
      </c>
      <c r="F3" s="15">
        <v>1029.2770847709999</v>
      </c>
    </row>
    <row r="4" spans="1:6" ht="22.5">
      <c r="A4" s="4">
        <f aca="true" t="shared" si="0" ref="A4:A67">1+A3</f>
        <v>2</v>
      </c>
      <c r="B4" s="4" t="s">
        <v>695</v>
      </c>
      <c r="C4" s="4">
        <v>7717107913</v>
      </c>
      <c r="D4" s="15">
        <v>561.1537020613333</v>
      </c>
      <c r="E4" s="15">
        <v>0.067690743</v>
      </c>
      <c r="F4" s="15">
        <v>561.0860113183334</v>
      </c>
    </row>
    <row r="5" spans="1:6" ht="22.5">
      <c r="A5" s="4">
        <f t="shared" si="0"/>
        <v>3</v>
      </c>
      <c r="B5" s="4" t="s">
        <v>697</v>
      </c>
      <c r="C5" s="4">
        <v>7707017509</v>
      </c>
      <c r="D5" s="15">
        <v>491.506778161</v>
      </c>
      <c r="E5" s="15">
        <v>22.473546181333337</v>
      </c>
      <c r="F5" s="15">
        <v>469.03323197966665</v>
      </c>
    </row>
    <row r="6" spans="1:6" ht="11.25">
      <c r="A6" s="4">
        <f t="shared" si="0"/>
        <v>4</v>
      </c>
      <c r="B6" s="4" t="s">
        <v>699</v>
      </c>
      <c r="C6" s="4">
        <v>7733511190</v>
      </c>
      <c r="D6" s="15">
        <v>431.4432694066667</v>
      </c>
      <c r="E6" s="15">
        <v>6.239131483333333</v>
      </c>
      <c r="F6" s="15">
        <v>425.20413792333335</v>
      </c>
    </row>
    <row r="7" spans="1:6" ht="11.25">
      <c r="A7" s="4">
        <f t="shared" si="0"/>
        <v>5</v>
      </c>
      <c r="B7" s="4" t="s">
        <v>694</v>
      </c>
      <c r="C7" s="4">
        <v>7706232528</v>
      </c>
      <c r="D7" s="15">
        <v>605.204532029</v>
      </c>
      <c r="E7" s="15">
        <v>202.29374326666667</v>
      </c>
      <c r="F7" s="15">
        <v>402.91078876233337</v>
      </c>
    </row>
    <row r="8" spans="1:6" ht="11.25">
      <c r="A8" s="4">
        <f t="shared" si="0"/>
        <v>6</v>
      </c>
      <c r="B8" s="4" t="s">
        <v>701</v>
      </c>
      <c r="C8" s="4">
        <v>7722156698</v>
      </c>
      <c r="D8" s="15">
        <v>402.87683626666666</v>
      </c>
      <c r="E8" s="15">
        <v>32.769248792</v>
      </c>
      <c r="F8" s="15">
        <v>370.1075874746667</v>
      </c>
    </row>
    <row r="9" spans="1:6" ht="11.25">
      <c r="A9" s="4">
        <f t="shared" si="0"/>
        <v>7</v>
      </c>
      <c r="B9" s="4" t="s">
        <v>702</v>
      </c>
      <c r="C9" s="4">
        <v>7709381285</v>
      </c>
      <c r="D9" s="15">
        <v>364.12660249466666</v>
      </c>
      <c r="E9" s="15">
        <v>4.750629651666667</v>
      </c>
      <c r="F9" s="15">
        <v>359.375972843</v>
      </c>
    </row>
    <row r="10" spans="1:6" ht="11.25">
      <c r="A10" s="4">
        <f t="shared" si="0"/>
        <v>8</v>
      </c>
      <c r="B10" s="4" t="s">
        <v>704</v>
      </c>
      <c r="C10" s="4">
        <v>7724244170</v>
      </c>
      <c r="D10" s="15">
        <v>349.84800196</v>
      </c>
      <c r="E10" s="15">
        <v>0.9797</v>
      </c>
      <c r="F10" s="15">
        <v>348.86830196</v>
      </c>
    </row>
    <row r="11" spans="1:6" ht="11.25">
      <c r="A11" s="4">
        <f t="shared" si="0"/>
        <v>9</v>
      </c>
      <c r="B11" s="4" t="s">
        <v>706</v>
      </c>
      <c r="C11" s="4">
        <v>7701254528</v>
      </c>
      <c r="D11" s="15">
        <v>345.918014364</v>
      </c>
      <c r="E11" s="15">
        <v>0</v>
      </c>
      <c r="F11" s="15">
        <v>345.918014364</v>
      </c>
    </row>
    <row r="12" spans="1:6" ht="22.5">
      <c r="A12" s="4">
        <f t="shared" si="0"/>
        <v>10</v>
      </c>
      <c r="B12" s="4" t="s">
        <v>1197</v>
      </c>
      <c r="C12" s="4">
        <v>814129109</v>
      </c>
      <c r="D12" s="15">
        <v>340.74058033333336</v>
      </c>
      <c r="E12" s="15">
        <v>0</v>
      </c>
      <c r="F12" s="15">
        <v>340.74058033333336</v>
      </c>
    </row>
    <row r="13" spans="1:6" ht="11.25">
      <c r="A13" s="4">
        <f t="shared" si="0"/>
        <v>11</v>
      </c>
      <c r="B13" s="4" t="s">
        <v>707</v>
      </c>
      <c r="C13" s="4">
        <v>7708074637</v>
      </c>
      <c r="D13" s="15">
        <v>345.1633017693333</v>
      </c>
      <c r="E13" s="15">
        <v>10.678133240333333</v>
      </c>
      <c r="F13" s="15">
        <v>334.48516852899996</v>
      </c>
    </row>
    <row r="14" spans="1:6" ht="11.25">
      <c r="A14" s="4">
        <f t="shared" si="0"/>
        <v>12</v>
      </c>
      <c r="B14" s="4" t="s">
        <v>1198</v>
      </c>
      <c r="C14" s="4">
        <v>5902109527</v>
      </c>
      <c r="D14" s="15">
        <v>333.572218753</v>
      </c>
      <c r="E14" s="15">
        <v>0.024279452000000003</v>
      </c>
      <c r="F14" s="15">
        <v>333.54793930100004</v>
      </c>
    </row>
    <row r="15" spans="1:6" ht="22.5">
      <c r="A15" s="4">
        <f t="shared" si="0"/>
        <v>13</v>
      </c>
      <c r="B15" s="4" t="s">
        <v>705</v>
      </c>
      <c r="C15" s="4">
        <v>7709366689</v>
      </c>
      <c r="D15" s="15">
        <v>347.7306522183333</v>
      </c>
      <c r="E15" s="15">
        <v>21.10053965766667</v>
      </c>
      <c r="F15" s="15">
        <v>326.63011256066665</v>
      </c>
    </row>
    <row r="16" spans="1:6" ht="11.25">
      <c r="A16" s="4">
        <f t="shared" si="0"/>
        <v>14</v>
      </c>
      <c r="B16" s="4" t="s">
        <v>710</v>
      </c>
      <c r="C16" s="4">
        <v>7709221179</v>
      </c>
      <c r="D16" s="15">
        <v>307.1277259126666</v>
      </c>
      <c r="E16" s="15">
        <v>0.3512633486666667</v>
      </c>
      <c r="F16" s="15">
        <v>306.7764625639999</v>
      </c>
    </row>
    <row r="17" spans="1:6" ht="11.25">
      <c r="A17" s="4">
        <f t="shared" si="0"/>
        <v>15</v>
      </c>
      <c r="B17" s="4" t="s">
        <v>709</v>
      </c>
      <c r="C17" s="4">
        <v>7733174515</v>
      </c>
      <c r="D17" s="15">
        <v>310.08632115533334</v>
      </c>
      <c r="E17" s="15">
        <v>4.5103850083333334</v>
      </c>
      <c r="F17" s="15">
        <v>305.575936147</v>
      </c>
    </row>
    <row r="18" spans="1:6" ht="11.25">
      <c r="A18" s="4">
        <f t="shared" si="0"/>
        <v>16</v>
      </c>
      <c r="B18" s="4" t="s">
        <v>708</v>
      </c>
      <c r="C18" s="4">
        <v>7710406625</v>
      </c>
      <c r="D18" s="15">
        <v>318.920171187</v>
      </c>
      <c r="E18" s="15">
        <v>45.20022341333333</v>
      </c>
      <c r="F18" s="15">
        <v>273.71994777366666</v>
      </c>
    </row>
    <row r="19" spans="1:6" ht="11.25">
      <c r="A19" s="4">
        <f t="shared" si="0"/>
        <v>17</v>
      </c>
      <c r="B19" s="4" t="s">
        <v>711</v>
      </c>
      <c r="C19" s="4">
        <v>7718200915</v>
      </c>
      <c r="D19" s="15">
        <v>300.999649</v>
      </c>
      <c r="E19" s="15">
        <v>27.504666666666665</v>
      </c>
      <c r="F19" s="15">
        <v>273.4949823333333</v>
      </c>
    </row>
    <row r="20" spans="1:6" ht="11.25">
      <c r="A20" s="4">
        <f t="shared" si="0"/>
        <v>18</v>
      </c>
      <c r="B20" s="4" t="s">
        <v>722</v>
      </c>
      <c r="C20" s="4">
        <v>7725074789</v>
      </c>
      <c r="D20" s="15">
        <v>271.73841877033334</v>
      </c>
      <c r="E20" s="15">
        <v>0.4643864386666667</v>
      </c>
      <c r="F20" s="15">
        <v>271.27403233166666</v>
      </c>
    </row>
    <row r="21" spans="1:6" ht="11.25">
      <c r="A21" s="4">
        <f t="shared" si="0"/>
        <v>19</v>
      </c>
      <c r="B21" s="4" t="s">
        <v>713</v>
      </c>
      <c r="C21" s="4">
        <v>7703334867</v>
      </c>
      <c r="D21" s="15">
        <v>283.24718957833335</v>
      </c>
      <c r="E21" s="15">
        <v>19.691117636</v>
      </c>
      <c r="F21" s="15">
        <v>263.55607194233335</v>
      </c>
    </row>
    <row r="22" spans="1:6" ht="11.25">
      <c r="A22" s="4">
        <f t="shared" si="0"/>
        <v>20</v>
      </c>
      <c r="B22" s="4" t="s">
        <v>715</v>
      </c>
      <c r="C22" s="4">
        <v>814152644</v>
      </c>
      <c r="D22" s="15">
        <v>263.1317644883333</v>
      </c>
      <c r="E22" s="15">
        <v>0</v>
      </c>
      <c r="F22" s="15">
        <v>263.1317644883333</v>
      </c>
    </row>
    <row r="23" spans="1:6" ht="11.25">
      <c r="A23" s="4">
        <f t="shared" si="0"/>
        <v>21</v>
      </c>
      <c r="B23" s="4" t="s">
        <v>716</v>
      </c>
      <c r="C23" s="4">
        <v>7715371461</v>
      </c>
      <c r="D23" s="15">
        <v>262.51553333333334</v>
      </c>
      <c r="E23" s="15">
        <v>0</v>
      </c>
      <c r="F23" s="15">
        <v>262.51553333333334</v>
      </c>
    </row>
    <row r="24" spans="1:6" ht="11.25">
      <c r="A24" s="4">
        <f t="shared" si="0"/>
        <v>22</v>
      </c>
      <c r="B24" s="4" t="s">
        <v>717</v>
      </c>
      <c r="C24" s="4">
        <v>7726030449</v>
      </c>
      <c r="D24" s="15">
        <v>255.19012712166665</v>
      </c>
      <c r="E24" s="15">
        <v>0.10263999666666666</v>
      </c>
      <c r="F24" s="15">
        <v>255.087487125</v>
      </c>
    </row>
    <row r="25" spans="1:6" ht="11.25">
      <c r="A25" s="4">
        <f t="shared" si="0"/>
        <v>23</v>
      </c>
      <c r="B25" s="4" t="s">
        <v>719</v>
      </c>
      <c r="C25" s="4">
        <v>7709367322</v>
      </c>
      <c r="D25" s="15">
        <v>256.037714099</v>
      </c>
      <c r="E25" s="15">
        <v>3.8389985093333334</v>
      </c>
      <c r="F25" s="15">
        <v>252.1987155896667</v>
      </c>
    </row>
    <row r="26" spans="1:6" ht="11.25">
      <c r="A26" s="4">
        <f t="shared" si="0"/>
        <v>24</v>
      </c>
      <c r="B26" s="4" t="s">
        <v>720</v>
      </c>
      <c r="C26" s="4">
        <v>7714255952</v>
      </c>
      <c r="D26" s="15">
        <v>248.20812975333334</v>
      </c>
      <c r="E26" s="15">
        <v>4.576259737333333</v>
      </c>
      <c r="F26" s="15">
        <v>243.631870016</v>
      </c>
    </row>
    <row r="27" spans="1:6" ht="11.25">
      <c r="A27" s="4">
        <f t="shared" si="0"/>
        <v>25</v>
      </c>
      <c r="B27" s="4" t="s">
        <v>721</v>
      </c>
      <c r="C27" s="4">
        <v>7705183211</v>
      </c>
      <c r="D27" s="15">
        <v>243.36286077100002</v>
      </c>
      <c r="E27" s="15">
        <v>12.732514834666667</v>
      </c>
      <c r="F27" s="15">
        <v>230.63034593633336</v>
      </c>
    </row>
    <row r="28" spans="1:6" ht="11.25">
      <c r="A28" s="4">
        <f t="shared" si="0"/>
        <v>26</v>
      </c>
      <c r="B28" s="4" t="s">
        <v>724</v>
      </c>
      <c r="C28" s="4">
        <v>7733124472</v>
      </c>
      <c r="D28" s="15">
        <v>229.72333333333333</v>
      </c>
      <c r="E28" s="15">
        <v>0</v>
      </c>
      <c r="F28" s="15">
        <v>229.72333333333333</v>
      </c>
    </row>
    <row r="29" spans="1:6" ht="22.5">
      <c r="A29" s="4">
        <f t="shared" si="0"/>
        <v>27</v>
      </c>
      <c r="B29" s="4" t="s">
        <v>726</v>
      </c>
      <c r="C29" s="4">
        <v>7703266053</v>
      </c>
      <c r="D29" s="15">
        <v>228.26914124566667</v>
      </c>
      <c r="E29" s="15">
        <v>0.377506188</v>
      </c>
      <c r="F29" s="15">
        <v>227.89163505766666</v>
      </c>
    </row>
    <row r="30" spans="1:6" ht="11.25">
      <c r="A30" s="4">
        <f t="shared" si="0"/>
        <v>28</v>
      </c>
      <c r="B30" s="4" t="s">
        <v>696</v>
      </c>
      <c r="C30" s="4">
        <v>7710460661</v>
      </c>
      <c r="D30" s="15">
        <v>557.0940227923334</v>
      </c>
      <c r="E30" s="15">
        <v>333.561595238</v>
      </c>
      <c r="F30" s="15">
        <v>223.53242755433337</v>
      </c>
    </row>
    <row r="31" spans="1:6" ht="11.25">
      <c r="A31" s="4">
        <f t="shared" si="0"/>
        <v>29</v>
      </c>
      <c r="B31" s="4" t="s">
        <v>718</v>
      </c>
      <c r="C31" s="4">
        <v>3528000597</v>
      </c>
      <c r="D31" s="15">
        <v>252.10644432133336</v>
      </c>
      <c r="E31" s="15">
        <v>30.063649198666667</v>
      </c>
      <c r="F31" s="15">
        <v>222.0427951226667</v>
      </c>
    </row>
    <row r="32" spans="1:6" ht="22.5">
      <c r="A32" s="4">
        <f t="shared" si="0"/>
        <v>30</v>
      </c>
      <c r="B32" s="4" t="s">
        <v>727</v>
      </c>
      <c r="C32" s="4">
        <v>7804156917</v>
      </c>
      <c r="D32" s="15">
        <v>219.06385953433332</v>
      </c>
      <c r="E32" s="15">
        <v>0.9280344896666667</v>
      </c>
      <c r="F32" s="15">
        <v>218.13582504466666</v>
      </c>
    </row>
    <row r="33" spans="1:6" ht="11.25">
      <c r="A33" s="4">
        <f t="shared" si="0"/>
        <v>31</v>
      </c>
      <c r="B33" s="4" t="s">
        <v>729</v>
      </c>
      <c r="C33" s="4">
        <v>7743064938</v>
      </c>
      <c r="D33" s="15">
        <v>212.528967011</v>
      </c>
      <c r="E33" s="15">
        <v>0.6367236666666667</v>
      </c>
      <c r="F33" s="15">
        <v>211.89224334433334</v>
      </c>
    </row>
    <row r="34" spans="1:6" ht="11.25">
      <c r="A34" s="4">
        <f t="shared" si="0"/>
        <v>32</v>
      </c>
      <c r="B34" s="4" t="s">
        <v>730</v>
      </c>
      <c r="C34" s="4">
        <v>7727241450</v>
      </c>
      <c r="D34" s="15">
        <v>211.35830775</v>
      </c>
      <c r="E34" s="15">
        <v>0</v>
      </c>
      <c r="F34" s="15">
        <v>211.35830775</v>
      </c>
    </row>
    <row r="35" spans="1:6" ht="11.25">
      <c r="A35" s="4">
        <f t="shared" si="0"/>
        <v>33</v>
      </c>
      <c r="B35" s="4" t="s">
        <v>732</v>
      </c>
      <c r="C35" s="4">
        <v>7725191556</v>
      </c>
      <c r="D35" s="15">
        <v>207.93438397233334</v>
      </c>
      <c r="E35" s="15">
        <v>0</v>
      </c>
      <c r="F35" s="15">
        <v>207.93438397233334</v>
      </c>
    </row>
    <row r="36" spans="1:6" ht="11.25">
      <c r="A36" s="4">
        <f t="shared" si="0"/>
        <v>34</v>
      </c>
      <c r="B36" s="4" t="s">
        <v>700</v>
      </c>
      <c r="C36" s="4">
        <v>7736234770</v>
      </c>
      <c r="D36" s="15">
        <v>507.20460666133334</v>
      </c>
      <c r="E36" s="15">
        <v>305.4820234933333</v>
      </c>
      <c r="F36" s="15">
        <v>201.72258316800003</v>
      </c>
    </row>
    <row r="37" spans="1:6" ht="11.25">
      <c r="A37" s="4">
        <f t="shared" si="0"/>
        <v>35</v>
      </c>
      <c r="B37" s="4" t="s">
        <v>725</v>
      </c>
      <c r="C37" s="4">
        <v>7702360342</v>
      </c>
      <c r="D37" s="15">
        <v>206.42216533733333</v>
      </c>
      <c r="E37" s="15">
        <v>4.856399353666667</v>
      </c>
      <c r="F37" s="15">
        <v>201.56576598366667</v>
      </c>
    </row>
    <row r="38" spans="1:6" ht="11.25">
      <c r="A38" s="4">
        <f t="shared" si="0"/>
        <v>36</v>
      </c>
      <c r="B38" s="4" t="s">
        <v>733</v>
      </c>
      <c r="C38" s="4">
        <v>7715297345</v>
      </c>
      <c r="D38" s="15">
        <v>206.92897757033333</v>
      </c>
      <c r="E38" s="15">
        <v>7.534336300666667</v>
      </c>
      <c r="F38" s="15">
        <v>199.39464126966666</v>
      </c>
    </row>
    <row r="39" spans="1:6" ht="11.25">
      <c r="A39" s="4">
        <f t="shared" si="0"/>
        <v>37</v>
      </c>
      <c r="B39" s="4" t="s">
        <v>735</v>
      </c>
      <c r="C39" s="4">
        <v>7730157085</v>
      </c>
      <c r="D39" s="15">
        <v>199.12094771033335</v>
      </c>
      <c r="E39" s="15">
        <v>2.3446413746666663</v>
      </c>
      <c r="F39" s="15">
        <v>196.77630633566667</v>
      </c>
    </row>
    <row r="40" spans="1:6" ht="11.25">
      <c r="A40" s="4">
        <f t="shared" si="0"/>
        <v>38</v>
      </c>
      <c r="B40" s="4" t="s">
        <v>736</v>
      </c>
      <c r="C40" s="4">
        <v>7705462776</v>
      </c>
      <c r="D40" s="15">
        <v>196.97639140166666</v>
      </c>
      <c r="E40" s="15">
        <v>5.701923391999999</v>
      </c>
      <c r="F40" s="15">
        <v>191.27446800966666</v>
      </c>
    </row>
    <row r="41" spans="1:6" ht="22.5">
      <c r="A41" s="4">
        <f t="shared" si="0"/>
        <v>39</v>
      </c>
      <c r="B41" s="4" t="s">
        <v>739</v>
      </c>
      <c r="C41" s="4">
        <v>7713330318</v>
      </c>
      <c r="D41" s="15">
        <v>189.18006665166666</v>
      </c>
      <c r="E41" s="15">
        <v>0</v>
      </c>
      <c r="F41" s="15">
        <v>189.18006665166666</v>
      </c>
    </row>
    <row r="42" spans="1:6" ht="11.25">
      <c r="A42" s="4">
        <f t="shared" si="0"/>
        <v>40</v>
      </c>
      <c r="B42" s="4" t="s">
        <v>734</v>
      </c>
      <c r="C42" s="4">
        <v>7707322686</v>
      </c>
      <c r="D42" s="15">
        <v>203.4388723906667</v>
      </c>
      <c r="E42" s="15">
        <v>16.006631105333334</v>
      </c>
      <c r="F42" s="15">
        <v>187.43224128533336</v>
      </c>
    </row>
    <row r="43" spans="1:6" ht="11.25">
      <c r="A43" s="4">
        <f t="shared" si="0"/>
        <v>41</v>
      </c>
      <c r="B43" s="4" t="s">
        <v>738</v>
      </c>
      <c r="C43" s="4">
        <v>7703068485</v>
      </c>
      <c r="D43" s="15">
        <v>191.94790404</v>
      </c>
      <c r="E43" s="15">
        <v>12.883776233333334</v>
      </c>
      <c r="F43" s="15">
        <v>179.06412780666668</v>
      </c>
    </row>
    <row r="44" spans="1:6" ht="11.25">
      <c r="A44" s="4">
        <f t="shared" si="0"/>
        <v>42</v>
      </c>
      <c r="B44" s="4" t="s">
        <v>742</v>
      </c>
      <c r="C44" s="4">
        <v>7706107510</v>
      </c>
      <c r="D44" s="15">
        <v>179.34467410566666</v>
      </c>
      <c r="E44" s="15">
        <v>2.453934346</v>
      </c>
      <c r="F44" s="15">
        <v>176.89073975966664</v>
      </c>
    </row>
    <row r="45" spans="1:6" ht="11.25">
      <c r="A45" s="4">
        <f t="shared" si="0"/>
        <v>43</v>
      </c>
      <c r="B45" s="4" t="s">
        <v>1199</v>
      </c>
      <c r="C45" s="4">
        <v>814140085</v>
      </c>
      <c r="D45" s="15">
        <v>175.33333333333334</v>
      </c>
      <c r="E45" s="15">
        <v>0</v>
      </c>
      <c r="F45" s="15">
        <v>175.33333333333334</v>
      </c>
    </row>
    <row r="46" spans="1:6" ht="11.25">
      <c r="A46" s="4">
        <f t="shared" si="0"/>
        <v>44</v>
      </c>
      <c r="B46" s="4" t="s">
        <v>737</v>
      </c>
      <c r="C46" s="4">
        <v>7708503727</v>
      </c>
      <c r="D46" s="15">
        <v>204.00365101199966</v>
      </c>
      <c r="E46" s="15">
        <v>35.848333003</v>
      </c>
      <c r="F46" s="15">
        <v>168.15531800899967</v>
      </c>
    </row>
    <row r="47" spans="1:6" ht="11.25">
      <c r="A47" s="4">
        <f t="shared" si="0"/>
        <v>45</v>
      </c>
      <c r="B47" s="4" t="s">
        <v>744</v>
      </c>
      <c r="C47" s="4">
        <v>7703203374</v>
      </c>
      <c r="D47" s="15">
        <v>166.64959185666666</v>
      </c>
      <c r="E47" s="15">
        <v>0.0173893</v>
      </c>
      <c r="F47" s="15">
        <v>166.63220255666667</v>
      </c>
    </row>
    <row r="48" spans="1:6" ht="11.25">
      <c r="A48" s="4">
        <f t="shared" si="0"/>
        <v>46</v>
      </c>
      <c r="B48" s="4" t="s">
        <v>740</v>
      </c>
      <c r="C48" s="4">
        <v>7706272584</v>
      </c>
      <c r="D48" s="15">
        <v>186.01671476066664</v>
      </c>
      <c r="E48" s="15">
        <v>21.21542690933333</v>
      </c>
      <c r="F48" s="15">
        <v>164.8012878513333</v>
      </c>
    </row>
    <row r="49" spans="1:6" ht="22.5">
      <c r="A49" s="4">
        <f t="shared" si="0"/>
        <v>47</v>
      </c>
      <c r="B49" s="4" t="s">
        <v>723</v>
      </c>
      <c r="C49" s="4">
        <v>6829000412</v>
      </c>
      <c r="D49" s="15">
        <v>208.86565693833333</v>
      </c>
      <c r="E49" s="15">
        <v>53.432566666666666</v>
      </c>
      <c r="F49" s="15">
        <v>155.43309027166666</v>
      </c>
    </row>
    <row r="50" spans="1:6" ht="11.25">
      <c r="A50" s="4">
        <f t="shared" si="0"/>
        <v>48</v>
      </c>
      <c r="B50" s="4" t="s">
        <v>728</v>
      </c>
      <c r="C50" s="4">
        <v>7714255960</v>
      </c>
      <c r="D50" s="15">
        <v>212.896194578</v>
      </c>
      <c r="E50" s="15">
        <v>58.359180345666665</v>
      </c>
      <c r="F50" s="15">
        <v>154.53701423233335</v>
      </c>
    </row>
    <row r="51" spans="1:6" ht="11.25">
      <c r="A51" s="4">
        <f t="shared" si="0"/>
        <v>49</v>
      </c>
      <c r="B51" s="4" t="s">
        <v>748</v>
      </c>
      <c r="C51" s="4">
        <v>7736239658</v>
      </c>
      <c r="D51" s="15">
        <v>157.0176852</v>
      </c>
      <c r="E51" s="15">
        <v>7.380315334333333</v>
      </c>
      <c r="F51" s="15">
        <v>149.63736986566664</v>
      </c>
    </row>
    <row r="52" spans="1:6" ht="11.25">
      <c r="A52" s="4">
        <f t="shared" si="0"/>
        <v>50</v>
      </c>
      <c r="B52" s="4" t="s">
        <v>747</v>
      </c>
      <c r="C52" s="4">
        <v>7705422910</v>
      </c>
      <c r="D52" s="15">
        <v>158.17869909466668</v>
      </c>
      <c r="E52" s="15">
        <v>12.922664788666667</v>
      </c>
      <c r="F52" s="15">
        <v>145.256034306</v>
      </c>
    </row>
    <row r="53" spans="1:6" ht="11.25">
      <c r="A53" s="4">
        <f t="shared" si="0"/>
        <v>51</v>
      </c>
      <c r="B53" s="4" t="s">
        <v>698</v>
      </c>
      <c r="C53" s="4">
        <v>7713340595</v>
      </c>
      <c r="D53" s="15">
        <v>481.047552635</v>
      </c>
      <c r="E53" s="15">
        <v>337.15323178266664</v>
      </c>
      <c r="F53" s="15">
        <v>143.89432085233335</v>
      </c>
    </row>
    <row r="54" spans="1:6" ht="11.25">
      <c r="A54" s="4">
        <f t="shared" si="0"/>
        <v>52</v>
      </c>
      <c r="B54" s="4" t="s">
        <v>753</v>
      </c>
      <c r="C54" s="4">
        <v>7716235831</v>
      </c>
      <c r="D54" s="15">
        <v>141.156567299</v>
      </c>
      <c r="E54" s="15">
        <v>0.288085029</v>
      </c>
      <c r="F54" s="15">
        <v>140.86848227</v>
      </c>
    </row>
    <row r="55" spans="1:6" ht="11.25">
      <c r="A55" s="4">
        <f t="shared" si="0"/>
        <v>53</v>
      </c>
      <c r="B55" s="4" t="s">
        <v>755</v>
      </c>
      <c r="C55" s="4">
        <v>7722238823</v>
      </c>
      <c r="D55" s="15">
        <v>139.2383167</v>
      </c>
      <c r="E55" s="15">
        <v>0.3892236746666667</v>
      </c>
      <c r="F55" s="15">
        <v>138.84909302533336</v>
      </c>
    </row>
    <row r="56" spans="1:6" ht="11.25">
      <c r="A56" s="4">
        <f t="shared" si="0"/>
        <v>54</v>
      </c>
      <c r="B56" s="4" t="s">
        <v>750</v>
      </c>
      <c r="C56" s="4">
        <v>7714516805</v>
      </c>
      <c r="D56" s="15">
        <v>147.88283043066667</v>
      </c>
      <c r="E56" s="15">
        <v>10.389059576</v>
      </c>
      <c r="F56" s="15">
        <v>137.49377085466668</v>
      </c>
    </row>
    <row r="57" spans="1:6" ht="11.25">
      <c r="A57" s="4">
        <f t="shared" si="0"/>
        <v>55</v>
      </c>
      <c r="B57" s="4" t="s">
        <v>749</v>
      </c>
      <c r="C57" s="4">
        <v>7706500061</v>
      </c>
      <c r="D57" s="15">
        <v>154.18634516466665</v>
      </c>
      <c r="E57" s="15">
        <v>19.300045004333334</v>
      </c>
      <c r="F57" s="15">
        <v>134.88630016033332</v>
      </c>
    </row>
    <row r="58" spans="1:6" ht="11.25">
      <c r="A58" s="4">
        <f t="shared" si="0"/>
        <v>56</v>
      </c>
      <c r="B58" s="4" t="s">
        <v>745</v>
      </c>
      <c r="C58" s="4">
        <v>7724242991</v>
      </c>
      <c r="D58" s="15">
        <v>133.91307872633334</v>
      </c>
      <c r="E58" s="15">
        <v>0</v>
      </c>
      <c r="F58" s="15">
        <v>133.91307872633334</v>
      </c>
    </row>
    <row r="59" spans="1:6" ht="11.25">
      <c r="A59" s="4">
        <f t="shared" si="0"/>
        <v>57</v>
      </c>
      <c r="B59" s="4" t="s">
        <v>757</v>
      </c>
      <c r="C59" s="4">
        <v>7715325634</v>
      </c>
      <c r="D59" s="15">
        <v>133.04921641433333</v>
      </c>
      <c r="E59" s="15">
        <v>0.21356980566666667</v>
      </c>
      <c r="F59" s="15">
        <v>132.83564660866665</v>
      </c>
    </row>
    <row r="60" spans="1:6" ht="11.25">
      <c r="A60" s="4">
        <f t="shared" si="0"/>
        <v>58</v>
      </c>
      <c r="B60" s="4" t="s">
        <v>752</v>
      </c>
      <c r="C60" s="4">
        <v>7709378317</v>
      </c>
      <c r="D60" s="15">
        <v>144.002144051</v>
      </c>
      <c r="E60" s="15">
        <v>11.772420493666667</v>
      </c>
      <c r="F60" s="15">
        <v>132.22972355733333</v>
      </c>
    </row>
    <row r="61" spans="1:6" ht="11.25">
      <c r="A61" s="4">
        <f t="shared" si="0"/>
        <v>59</v>
      </c>
      <c r="B61" s="4" t="s">
        <v>741</v>
      </c>
      <c r="C61" s="4">
        <v>5043022657</v>
      </c>
      <c r="D61" s="15">
        <v>131.77295841366666</v>
      </c>
      <c r="E61" s="15">
        <v>0</v>
      </c>
      <c r="F61" s="15">
        <v>131.77295841366666</v>
      </c>
    </row>
    <row r="62" spans="1:6" ht="11.25">
      <c r="A62" s="4">
        <f t="shared" si="0"/>
        <v>60</v>
      </c>
      <c r="B62" s="4" t="s">
        <v>217</v>
      </c>
      <c r="C62" s="4">
        <v>7718505667</v>
      </c>
      <c r="D62" s="15">
        <v>191.04718218366668</v>
      </c>
      <c r="E62" s="15">
        <v>59.56966883066667</v>
      </c>
      <c r="F62" s="15">
        <v>131.477513353</v>
      </c>
    </row>
    <row r="63" spans="1:6" ht="11.25">
      <c r="A63" s="4">
        <f t="shared" si="0"/>
        <v>61</v>
      </c>
      <c r="B63" s="4" t="s">
        <v>751</v>
      </c>
      <c r="C63" s="4">
        <v>7715370059</v>
      </c>
      <c r="D63" s="15">
        <v>145.74903983</v>
      </c>
      <c r="E63" s="15">
        <v>15.921922175999999</v>
      </c>
      <c r="F63" s="15">
        <v>129.82711765399998</v>
      </c>
    </row>
    <row r="64" spans="1:6" ht="11.25">
      <c r="A64" s="4">
        <f t="shared" si="0"/>
        <v>62</v>
      </c>
      <c r="B64" s="4" t="s">
        <v>761</v>
      </c>
      <c r="C64" s="4">
        <v>5003029649</v>
      </c>
      <c r="D64" s="15">
        <v>129.586066458</v>
      </c>
      <c r="E64" s="15">
        <v>0.045498907</v>
      </c>
      <c r="F64" s="15">
        <v>129.540567551</v>
      </c>
    </row>
    <row r="65" spans="1:6" ht="11.25">
      <c r="A65" s="4">
        <f t="shared" si="0"/>
        <v>63</v>
      </c>
      <c r="B65" s="4" t="s">
        <v>762</v>
      </c>
      <c r="C65" s="4">
        <v>7736212631</v>
      </c>
      <c r="D65" s="15">
        <v>129.43464119166666</v>
      </c>
      <c r="E65" s="15">
        <v>0.049282105</v>
      </c>
      <c r="F65" s="15">
        <v>129.38535908666665</v>
      </c>
    </row>
    <row r="66" spans="1:6" ht="11.25">
      <c r="A66" s="4">
        <f t="shared" si="0"/>
        <v>64</v>
      </c>
      <c r="B66" s="4" t="s">
        <v>756</v>
      </c>
      <c r="C66" s="4">
        <v>7703338300</v>
      </c>
      <c r="D66" s="15">
        <v>136.250930692</v>
      </c>
      <c r="E66" s="15">
        <v>7.123222477333333</v>
      </c>
      <c r="F66" s="15">
        <v>129.12770821466665</v>
      </c>
    </row>
    <row r="67" spans="1:6" ht="11.25">
      <c r="A67" s="4">
        <f t="shared" si="0"/>
        <v>65</v>
      </c>
      <c r="B67" s="4" t="s">
        <v>763</v>
      </c>
      <c r="C67" s="4">
        <v>5700000164</v>
      </c>
      <c r="D67" s="15">
        <v>129.405717669</v>
      </c>
      <c r="E67" s="15">
        <v>0.4562909996666667</v>
      </c>
      <c r="F67" s="15">
        <v>128.94942666933335</v>
      </c>
    </row>
    <row r="68" spans="1:6" ht="11.25">
      <c r="A68" s="4">
        <f aca="true" t="shared" si="1" ref="A68:A131">1+A67</f>
        <v>66</v>
      </c>
      <c r="B68" s="4" t="s">
        <v>770</v>
      </c>
      <c r="C68" s="4">
        <v>7702265402</v>
      </c>
      <c r="D68" s="15">
        <v>123.520484254</v>
      </c>
      <c r="E68" s="15">
        <v>0.011293509666666667</v>
      </c>
      <c r="F68" s="15">
        <v>123.50919074433332</v>
      </c>
    </row>
    <row r="69" spans="1:6" ht="34.5">
      <c r="A69" s="4">
        <f t="shared" si="1"/>
        <v>67</v>
      </c>
      <c r="B69" s="4" t="s">
        <v>765</v>
      </c>
      <c r="C69" s="4">
        <v>7710463888</v>
      </c>
      <c r="D69" s="15">
        <v>126.95414005433334</v>
      </c>
      <c r="E69" s="15">
        <v>3.4526491926666667</v>
      </c>
      <c r="F69" s="15">
        <v>123.50149086166667</v>
      </c>
    </row>
    <row r="70" spans="1:6" ht="11.25">
      <c r="A70" s="4">
        <f t="shared" si="1"/>
        <v>68</v>
      </c>
      <c r="C70" s="4">
        <v>7716217166</v>
      </c>
      <c r="D70" s="15">
        <v>129.83742394200002</v>
      </c>
      <c r="E70" s="15">
        <v>7.5609475580000005</v>
      </c>
      <c r="F70" s="15">
        <v>122.27647638400002</v>
      </c>
    </row>
    <row r="71" spans="1:6" ht="11.25">
      <c r="A71" s="4">
        <f t="shared" si="1"/>
        <v>69</v>
      </c>
      <c r="B71" s="4" t="s">
        <v>759</v>
      </c>
      <c r="C71" s="4">
        <v>7719283618</v>
      </c>
      <c r="D71" s="15">
        <v>132.79664319066666</v>
      </c>
      <c r="E71" s="15">
        <v>10.693804876</v>
      </c>
      <c r="F71" s="15">
        <v>122.10283831466666</v>
      </c>
    </row>
    <row r="72" spans="1:6" ht="11.25">
      <c r="A72" s="4">
        <f t="shared" si="1"/>
        <v>70</v>
      </c>
      <c r="B72" s="4" t="s">
        <v>768</v>
      </c>
      <c r="C72" s="4">
        <v>7703354976</v>
      </c>
      <c r="D72" s="15">
        <v>125.24189783766667</v>
      </c>
      <c r="E72" s="15">
        <v>4.387927660333333</v>
      </c>
      <c r="F72" s="15">
        <v>120.85397017733334</v>
      </c>
    </row>
    <row r="73" spans="1:6" ht="11.25">
      <c r="A73" s="4">
        <f t="shared" si="1"/>
        <v>71</v>
      </c>
      <c r="B73" s="4" t="s">
        <v>771</v>
      </c>
      <c r="C73" s="4">
        <v>7706501700</v>
      </c>
      <c r="D73" s="15">
        <v>122.14038834633332</v>
      </c>
      <c r="E73" s="15">
        <v>1.7845028683333333</v>
      </c>
      <c r="F73" s="15">
        <v>120.35588547799999</v>
      </c>
    </row>
    <row r="74" spans="1:6" ht="11.25">
      <c r="A74" s="4">
        <f t="shared" si="1"/>
        <v>72</v>
      </c>
      <c r="B74" s="4" t="s">
        <v>758</v>
      </c>
      <c r="C74" s="4">
        <v>7705573155</v>
      </c>
      <c r="D74" s="15">
        <v>125.81728630466667</v>
      </c>
      <c r="E74" s="15">
        <v>5.697197235</v>
      </c>
      <c r="F74" s="15">
        <v>120.12008906966666</v>
      </c>
    </row>
    <row r="75" spans="1:6" ht="11.25">
      <c r="A75" s="4">
        <f t="shared" si="1"/>
        <v>73</v>
      </c>
      <c r="B75" s="4" t="s">
        <v>775</v>
      </c>
      <c r="C75" s="4">
        <v>3128005752</v>
      </c>
      <c r="D75" s="15">
        <v>116.84893880866667</v>
      </c>
      <c r="E75" s="15">
        <v>0.19467775633333334</v>
      </c>
      <c r="F75" s="15">
        <v>116.65426105233334</v>
      </c>
    </row>
    <row r="76" spans="1:6" ht="11.25">
      <c r="A76" s="4">
        <f t="shared" si="1"/>
        <v>74</v>
      </c>
      <c r="B76" s="4" t="s">
        <v>778</v>
      </c>
      <c r="C76" s="4">
        <v>7448000292</v>
      </c>
      <c r="D76" s="15">
        <v>115.244877942</v>
      </c>
      <c r="E76" s="15">
        <v>0</v>
      </c>
      <c r="F76" s="15">
        <v>115.244877942</v>
      </c>
    </row>
    <row r="77" spans="1:6" ht="11.25">
      <c r="A77" s="4">
        <f t="shared" si="1"/>
        <v>75</v>
      </c>
      <c r="B77" s="4" t="s">
        <v>693</v>
      </c>
      <c r="C77" s="4">
        <v>7709303960</v>
      </c>
      <c r="D77" s="15">
        <v>876.194049954</v>
      </c>
      <c r="E77" s="15">
        <v>761.4719024446666</v>
      </c>
      <c r="F77" s="15">
        <v>114.72214750933335</v>
      </c>
    </row>
    <row r="78" spans="1:6" ht="11.25">
      <c r="A78" s="4">
        <f t="shared" si="1"/>
        <v>76</v>
      </c>
      <c r="B78" s="4" t="s">
        <v>774</v>
      </c>
      <c r="C78" s="4">
        <v>7733177548</v>
      </c>
      <c r="D78" s="15">
        <v>117.56782700666666</v>
      </c>
      <c r="E78" s="15">
        <v>4.428403727666667</v>
      </c>
      <c r="F78" s="15">
        <v>113.139423279</v>
      </c>
    </row>
    <row r="79" spans="1:6" ht="11.25">
      <c r="A79" s="4">
        <f t="shared" si="1"/>
        <v>77</v>
      </c>
      <c r="B79" s="4" t="s">
        <v>764</v>
      </c>
      <c r="C79" s="4">
        <v>7705568035</v>
      </c>
      <c r="D79" s="15">
        <v>120.46959522766666</v>
      </c>
      <c r="E79" s="15">
        <v>7.533983564666666</v>
      </c>
      <c r="F79" s="15">
        <v>112.93561166299999</v>
      </c>
    </row>
    <row r="80" spans="1:6" ht="22.5">
      <c r="A80" s="4">
        <f t="shared" si="1"/>
        <v>78</v>
      </c>
      <c r="B80" s="4" t="s">
        <v>781</v>
      </c>
      <c r="C80" s="4">
        <v>3015058383</v>
      </c>
      <c r="D80" s="15">
        <v>112.869992971</v>
      </c>
      <c r="E80" s="15">
        <v>0</v>
      </c>
      <c r="F80" s="15">
        <v>112.869992971</v>
      </c>
    </row>
    <row r="81" spans="1:6" ht="11.25">
      <c r="A81" s="4">
        <f t="shared" si="1"/>
        <v>79</v>
      </c>
      <c r="B81" s="4" t="s">
        <v>784</v>
      </c>
      <c r="C81" s="4">
        <v>7713503803</v>
      </c>
      <c r="D81" s="15">
        <v>110.91887705666666</v>
      </c>
      <c r="E81" s="15">
        <v>0.37870333333333334</v>
      </c>
      <c r="F81" s="15">
        <v>110.54017372333333</v>
      </c>
    </row>
    <row r="82" spans="1:6" ht="11.25">
      <c r="A82" s="4">
        <f t="shared" si="1"/>
        <v>80</v>
      </c>
      <c r="B82" s="4" t="s">
        <v>772</v>
      </c>
      <c r="C82" s="4">
        <v>7725186789</v>
      </c>
      <c r="D82" s="15">
        <v>121.62397202800001</v>
      </c>
      <c r="E82" s="15">
        <v>12.034228710333334</v>
      </c>
      <c r="F82" s="15">
        <v>109.58974331766667</v>
      </c>
    </row>
    <row r="83" spans="1:6" ht="22.5">
      <c r="A83" s="4">
        <f t="shared" si="1"/>
        <v>81</v>
      </c>
      <c r="B83" s="4" t="s">
        <v>838</v>
      </c>
      <c r="C83" s="4">
        <v>8401005730</v>
      </c>
      <c r="D83" s="15">
        <v>109.77870115799999</v>
      </c>
      <c r="E83" s="15">
        <v>0.21297058733333335</v>
      </c>
      <c r="F83" s="15">
        <v>109.56573057066666</v>
      </c>
    </row>
    <row r="84" spans="1:6" ht="11.25">
      <c r="A84" s="4">
        <f t="shared" si="1"/>
        <v>82</v>
      </c>
      <c r="B84" s="4" t="s">
        <v>777</v>
      </c>
      <c r="C84" s="4">
        <v>7705487562</v>
      </c>
      <c r="D84" s="15">
        <v>115.278585941</v>
      </c>
      <c r="E84" s="15">
        <v>5.965727148</v>
      </c>
      <c r="F84" s="15">
        <v>109.312858793</v>
      </c>
    </row>
    <row r="85" spans="1:6" ht="11.25">
      <c r="A85" s="4">
        <f t="shared" si="1"/>
        <v>83</v>
      </c>
      <c r="B85" s="4" t="s">
        <v>773</v>
      </c>
      <c r="C85" s="4">
        <v>7706306674</v>
      </c>
      <c r="D85" s="15">
        <v>115.57762008833333</v>
      </c>
      <c r="E85" s="15">
        <v>8.324393088333334</v>
      </c>
      <c r="F85" s="15">
        <v>107.253227</v>
      </c>
    </row>
    <row r="86" spans="1:6" ht="22.5">
      <c r="A86" s="4">
        <f t="shared" si="1"/>
        <v>84</v>
      </c>
      <c r="B86" s="4" t="s">
        <v>766</v>
      </c>
      <c r="C86" s="4">
        <v>7709314578</v>
      </c>
      <c r="D86" s="15">
        <v>127.28863133466666</v>
      </c>
      <c r="E86" s="15">
        <v>20.347069408</v>
      </c>
      <c r="F86" s="15">
        <v>106.94156192666667</v>
      </c>
    </row>
    <row r="87" spans="1:6" ht="11.25">
      <c r="A87" s="4">
        <f t="shared" si="1"/>
        <v>85</v>
      </c>
      <c r="B87" s="4" t="s">
        <v>779</v>
      </c>
      <c r="C87" s="4">
        <v>7723334985</v>
      </c>
      <c r="D87" s="15">
        <v>113.08616211533334</v>
      </c>
      <c r="E87" s="15">
        <v>6.559857926666667</v>
      </c>
      <c r="F87" s="15">
        <v>106.52630418866667</v>
      </c>
    </row>
    <row r="88" spans="1:6" ht="11.25">
      <c r="A88" s="4">
        <f t="shared" si="1"/>
        <v>86</v>
      </c>
      <c r="B88" s="4" t="s">
        <v>767</v>
      </c>
      <c r="C88" s="4">
        <v>7714517647</v>
      </c>
      <c r="D88" s="15">
        <v>126.33415286666667</v>
      </c>
      <c r="E88" s="15">
        <v>19.940800755999998</v>
      </c>
      <c r="F88" s="15">
        <v>106.39335211066667</v>
      </c>
    </row>
    <row r="89" spans="1:6" ht="11.25">
      <c r="A89" s="4">
        <f t="shared" si="1"/>
        <v>87</v>
      </c>
      <c r="B89" s="4" t="s">
        <v>788</v>
      </c>
      <c r="C89" s="4">
        <v>7705496341</v>
      </c>
      <c r="D89" s="15">
        <v>106.68439093466667</v>
      </c>
      <c r="E89" s="15">
        <v>0.3814258566666666</v>
      </c>
      <c r="F89" s="15">
        <v>106.302965078</v>
      </c>
    </row>
    <row r="90" spans="1:6" ht="11.25">
      <c r="A90" s="4">
        <f t="shared" si="1"/>
        <v>88</v>
      </c>
      <c r="B90" s="4" t="s">
        <v>703</v>
      </c>
      <c r="C90" s="4">
        <v>7736234522</v>
      </c>
      <c r="D90" s="15">
        <v>380.38013570866667</v>
      </c>
      <c r="E90" s="15">
        <v>276.4765190256667</v>
      </c>
      <c r="F90" s="15">
        <v>103.903616683</v>
      </c>
    </row>
    <row r="91" spans="1:6" ht="11.25">
      <c r="A91" s="4">
        <f t="shared" si="1"/>
        <v>89</v>
      </c>
      <c r="B91" s="4" t="s">
        <v>791</v>
      </c>
      <c r="C91" s="4">
        <v>7715337260</v>
      </c>
      <c r="D91" s="15">
        <v>103.920721791</v>
      </c>
      <c r="E91" s="15">
        <v>0.48670330333333334</v>
      </c>
      <c r="F91" s="15">
        <v>103.43401848766668</v>
      </c>
    </row>
    <row r="92" spans="1:6" ht="11.25">
      <c r="A92" s="4">
        <f t="shared" si="1"/>
        <v>90</v>
      </c>
      <c r="B92" s="4" t="s">
        <v>789</v>
      </c>
      <c r="C92" s="4">
        <v>7703285063</v>
      </c>
      <c r="D92" s="15">
        <v>104.89844766666667</v>
      </c>
      <c r="E92" s="15">
        <v>2.6592266666666666</v>
      </c>
      <c r="F92" s="15">
        <v>102.239221</v>
      </c>
    </row>
    <row r="93" spans="1:6" ht="11.25">
      <c r="A93" s="4">
        <f t="shared" si="1"/>
        <v>91</v>
      </c>
      <c r="B93" s="4" t="s">
        <v>792</v>
      </c>
      <c r="C93" s="4">
        <v>7710330359</v>
      </c>
      <c r="D93" s="15">
        <v>102.24730068466667</v>
      </c>
      <c r="E93" s="15">
        <v>0.21234627966666667</v>
      </c>
      <c r="F93" s="15">
        <v>102.03495440500001</v>
      </c>
    </row>
    <row r="94" spans="1:6" ht="11.25">
      <c r="A94" s="4">
        <f t="shared" si="1"/>
        <v>92</v>
      </c>
      <c r="B94" s="4" t="s">
        <v>743</v>
      </c>
      <c r="C94" s="4">
        <v>7713287662</v>
      </c>
      <c r="D94" s="15">
        <v>226.89233657666668</v>
      </c>
      <c r="E94" s="15">
        <v>125.36476981733334</v>
      </c>
      <c r="F94" s="15">
        <v>101.52756675933334</v>
      </c>
    </row>
    <row r="95" spans="1:6" ht="11.25">
      <c r="A95" s="4">
        <f t="shared" si="1"/>
        <v>93</v>
      </c>
      <c r="B95" s="4" t="s">
        <v>795</v>
      </c>
      <c r="C95" s="4">
        <v>5018085413</v>
      </c>
      <c r="D95" s="15">
        <v>104.35183030866668</v>
      </c>
      <c r="E95" s="15">
        <v>3.6360156133333335</v>
      </c>
      <c r="F95" s="15">
        <v>100.71581469533335</v>
      </c>
    </row>
    <row r="96" spans="1:6" ht="11.25">
      <c r="A96" s="4">
        <f t="shared" si="1"/>
        <v>94</v>
      </c>
      <c r="B96" s="4" t="s">
        <v>793</v>
      </c>
      <c r="C96" s="4">
        <v>7718232321</v>
      </c>
      <c r="D96" s="15">
        <v>101.87549145766667</v>
      </c>
      <c r="E96" s="15">
        <v>1.9140469213333333</v>
      </c>
      <c r="F96" s="15">
        <v>99.96144453633333</v>
      </c>
    </row>
    <row r="97" spans="1:6" ht="22.5">
      <c r="A97" s="4">
        <f t="shared" si="1"/>
        <v>95</v>
      </c>
      <c r="B97" s="4" t="s">
        <v>794</v>
      </c>
      <c r="C97" s="4">
        <v>7704237908</v>
      </c>
      <c r="D97" s="15">
        <v>101.86741261033333</v>
      </c>
      <c r="E97" s="15">
        <v>2.239025407666667</v>
      </c>
      <c r="F97" s="15">
        <v>99.62838720266666</v>
      </c>
    </row>
    <row r="98" spans="1:6" ht="11.25">
      <c r="A98" s="4">
        <f t="shared" si="1"/>
        <v>96</v>
      </c>
      <c r="B98" s="4" t="s">
        <v>785</v>
      </c>
      <c r="C98" s="4">
        <v>7701506006</v>
      </c>
      <c r="D98" s="15">
        <v>109.01030374866667</v>
      </c>
      <c r="E98" s="15">
        <v>9.561386171666665</v>
      </c>
      <c r="F98" s="15">
        <v>99.448917577</v>
      </c>
    </row>
    <row r="99" spans="1:6" ht="11.25">
      <c r="A99" s="4">
        <f t="shared" si="1"/>
        <v>97</v>
      </c>
      <c r="B99" s="4" t="s">
        <v>798</v>
      </c>
      <c r="C99" s="4">
        <v>7717124891</v>
      </c>
      <c r="D99" s="15">
        <v>98.83712947133333</v>
      </c>
      <c r="E99" s="15">
        <v>0.268614038</v>
      </c>
      <c r="F99" s="15">
        <v>98.56851543333333</v>
      </c>
    </row>
    <row r="100" spans="1:6" ht="11.25">
      <c r="A100" s="4">
        <f t="shared" si="1"/>
        <v>98</v>
      </c>
      <c r="B100" s="4" t="s">
        <v>799</v>
      </c>
      <c r="C100" s="4">
        <v>7734257997</v>
      </c>
      <c r="D100" s="15">
        <v>98.62798155833333</v>
      </c>
      <c r="E100" s="15">
        <v>0.3008400766666667</v>
      </c>
      <c r="F100" s="15">
        <v>98.32714148166667</v>
      </c>
    </row>
    <row r="101" spans="1:6" ht="11.25">
      <c r="A101" s="4">
        <f t="shared" si="1"/>
        <v>99</v>
      </c>
      <c r="B101" s="4" t="s">
        <v>746</v>
      </c>
      <c r="C101" s="4">
        <v>6215012688</v>
      </c>
      <c r="D101" s="15">
        <v>146.64508884566666</v>
      </c>
      <c r="E101" s="15">
        <v>50.08526166666667</v>
      </c>
      <c r="F101" s="15">
        <v>96.559827179</v>
      </c>
    </row>
    <row r="102" spans="1:6" ht="11.25">
      <c r="A102" s="4">
        <f t="shared" si="1"/>
        <v>100</v>
      </c>
      <c r="B102" s="4" t="s">
        <v>776</v>
      </c>
      <c r="C102" s="4">
        <v>7701308710</v>
      </c>
      <c r="D102" s="15">
        <v>117.93179859566666</v>
      </c>
      <c r="E102" s="15">
        <v>21.52412509066667</v>
      </c>
      <c r="F102" s="15">
        <v>96.40767350499999</v>
      </c>
    </row>
    <row r="103" spans="1:6" ht="11.25">
      <c r="A103" s="4">
        <f t="shared" si="1"/>
        <v>101</v>
      </c>
      <c r="B103" s="4" t="s">
        <v>806</v>
      </c>
      <c r="C103" s="4">
        <v>7703025499</v>
      </c>
      <c r="D103" s="15">
        <v>95.63459975100001</v>
      </c>
      <c r="E103" s="15">
        <v>2.221968152</v>
      </c>
      <c r="F103" s="15">
        <v>93.41263159900001</v>
      </c>
    </row>
    <row r="104" spans="1:6" ht="11.25">
      <c r="A104" s="4">
        <f t="shared" si="1"/>
        <v>102</v>
      </c>
      <c r="B104" s="4" t="s">
        <v>800</v>
      </c>
      <c r="C104" s="4">
        <v>606034713</v>
      </c>
      <c r="D104" s="15">
        <v>96.89408387266666</v>
      </c>
      <c r="E104" s="15">
        <v>3.8523149626666666</v>
      </c>
      <c r="F104" s="15">
        <v>93.04176890999999</v>
      </c>
    </row>
    <row r="105" spans="1:6" ht="11.25">
      <c r="A105" s="4">
        <f t="shared" si="1"/>
        <v>103</v>
      </c>
      <c r="B105" s="4" t="s">
        <v>808</v>
      </c>
      <c r="C105" s="4">
        <v>7703351020</v>
      </c>
      <c r="D105" s="15">
        <v>94.66423705700001</v>
      </c>
      <c r="E105" s="15">
        <v>1.9765389076666666</v>
      </c>
      <c r="F105" s="15">
        <v>92.68769814933334</v>
      </c>
    </row>
    <row r="106" spans="1:6" ht="11.25">
      <c r="A106" s="4">
        <f t="shared" si="1"/>
        <v>104</v>
      </c>
      <c r="B106" s="4" t="s">
        <v>796</v>
      </c>
      <c r="C106" s="4">
        <v>7728273207</v>
      </c>
      <c r="D106" s="15">
        <v>100.429002057</v>
      </c>
      <c r="E106" s="15">
        <v>8.075</v>
      </c>
      <c r="F106" s="15">
        <v>92.354002057</v>
      </c>
    </row>
    <row r="107" spans="1:6" ht="22.5">
      <c r="A107" s="4">
        <f t="shared" si="1"/>
        <v>105</v>
      </c>
      <c r="B107" s="4" t="s">
        <v>780</v>
      </c>
      <c r="C107" s="4">
        <v>4823006703</v>
      </c>
      <c r="D107" s="15">
        <v>116.162613008</v>
      </c>
      <c r="E107" s="15">
        <v>24.452955251333332</v>
      </c>
      <c r="F107" s="15">
        <v>91.70965775666666</v>
      </c>
    </row>
    <row r="108" spans="1:6" ht="11.25">
      <c r="A108" s="4">
        <f t="shared" si="1"/>
        <v>106</v>
      </c>
      <c r="B108" s="4" t="s">
        <v>811</v>
      </c>
      <c r="C108" s="4">
        <v>6714016744</v>
      </c>
      <c r="D108" s="15">
        <v>91.89703545866668</v>
      </c>
      <c r="E108" s="15">
        <v>0.32903134633333336</v>
      </c>
      <c r="F108" s="15">
        <v>91.56800411233334</v>
      </c>
    </row>
    <row r="109" spans="1:6" ht="11.25">
      <c r="A109" s="4">
        <f t="shared" si="1"/>
        <v>107</v>
      </c>
      <c r="B109" s="4" t="s">
        <v>787</v>
      </c>
      <c r="C109" s="4">
        <v>7736228543</v>
      </c>
      <c r="D109" s="15">
        <v>100.81364782899999</v>
      </c>
      <c r="E109" s="15">
        <v>9.255411630666668</v>
      </c>
      <c r="F109" s="15">
        <v>91.55823619833332</v>
      </c>
    </row>
    <row r="110" spans="1:6" ht="11.25">
      <c r="A110" s="4">
        <f t="shared" si="1"/>
        <v>108</v>
      </c>
      <c r="B110" s="4" t="s">
        <v>782</v>
      </c>
      <c r="C110" s="4">
        <v>7714300161</v>
      </c>
      <c r="D110" s="15">
        <v>112.09418915066667</v>
      </c>
      <c r="E110" s="15">
        <v>20.650362379666667</v>
      </c>
      <c r="F110" s="15">
        <v>91.443826771</v>
      </c>
    </row>
    <row r="111" spans="1:6" ht="11.25">
      <c r="A111" s="4">
        <f t="shared" si="1"/>
        <v>109</v>
      </c>
      <c r="B111" s="4" t="s">
        <v>804</v>
      </c>
      <c r="C111" s="4">
        <v>7710509557</v>
      </c>
      <c r="D111" s="15">
        <v>95.8915341</v>
      </c>
      <c r="E111" s="15">
        <v>5.862768731666666</v>
      </c>
      <c r="F111" s="15">
        <v>90.02876536833334</v>
      </c>
    </row>
    <row r="112" spans="1:6" ht="11.25">
      <c r="A112" s="4">
        <f t="shared" si="1"/>
        <v>110</v>
      </c>
      <c r="B112" s="4" t="s">
        <v>818</v>
      </c>
      <c r="C112" s="4">
        <v>4823019220</v>
      </c>
      <c r="D112" s="15">
        <v>89.031268728</v>
      </c>
      <c r="E112" s="15">
        <v>0.24154</v>
      </c>
      <c r="F112" s="15">
        <v>88.789728728</v>
      </c>
    </row>
    <row r="113" spans="1:6" ht="11.25">
      <c r="A113" s="4">
        <f t="shared" si="1"/>
        <v>111</v>
      </c>
      <c r="B113" s="4" t="s">
        <v>802</v>
      </c>
      <c r="C113" s="4">
        <v>7701509173</v>
      </c>
      <c r="D113" s="15">
        <v>96.11</v>
      </c>
      <c r="E113" s="15">
        <v>7.395423651666667</v>
      </c>
      <c r="F113" s="15">
        <v>88.71457634833334</v>
      </c>
    </row>
    <row r="114" spans="1:6" ht="11.25">
      <c r="A114" s="4">
        <f t="shared" si="1"/>
        <v>112</v>
      </c>
      <c r="B114" s="4" t="s">
        <v>714</v>
      </c>
      <c r="C114" s="4">
        <v>7708227570</v>
      </c>
      <c r="D114" s="15">
        <v>292.5170064563334</v>
      </c>
      <c r="E114" s="15">
        <v>203.957777935</v>
      </c>
      <c r="F114" s="15">
        <v>88.55922852133338</v>
      </c>
    </row>
    <row r="115" spans="1:6" ht="11.25">
      <c r="A115" s="4">
        <f t="shared" si="1"/>
        <v>113</v>
      </c>
      <c r="B115" s="4" t="s">
        <v>814</v>
      </c>
      <c r="C115" s="4">
        <v>7703328239</v>
      </c>
      <c r="D115" s="15">
        <v>89.764646439</v>
      </c>
      <c r="E115" s="15">
        <v>1.2803817</v>
      </c>
      <c r="F115" s="15">
        <v>88.484264739</v>
      </c>
    </row>
    <row r="116" spans="1:6" ht="11.25">
      <c r="A116" s="4">
        <f t="shared" si="1"/>
        <v>114</v>
      </c>
      <c r="B116" s="4" t="s">
        <v>810</v>
      </c>
      <c r="C116" s="4">
        <v>8602060185</v>
      </c>
      <c r="D116" s="15">
        <v>94.12324307133333</v>
      </c>
      <c r="E116" s="15">
        <v>7.414627553</v>
      </c>
      <c r="F116" s="15">
        <v>86.70861551833333</v>
      </c>
    </row>
    <row r="117" spans="1:6" ht="11.25">
      <c r="A117" s="4">
        <f t="shared" si="1"/>
        <v>115</v>
      </c>
      <c r="B117" s="4" t="s">
        <v>819</v>
      </c>
      <c r="C117" s="4">
        <v>7718147813</v>
      </c>
      <c r="D117" s="15">
        <v>88.58516244033333</v>
      </c>
      <c r="E117" s="15">
        <v>2.082285806666667</v>
      </c>
      <c r="F117" s="15">
        <v>86.50287663366667</v>
      </c>
    </row>
    <row r="118" spans="1:6" ht="22.5">
      <c r="A118" s="4">
        <f t="shared" si="1"/>
        <v>116</v>
      </c>
      <c r="B118" s="4" t="s">
        <v>822</v>
      </c>
      <c r="C118" s="4">
        <v>7703342378</v>
      </c>
      <c r="D118" s="15">
        <v>86.91850298333334</v>
      </c>
      <c r="E118" s="15">
        <v>1.1869792013333333</v>
      </c>
      <c r="F118" s="15">
        <v>85.73152378200001</v>
      </c>
    </row>
    <row r="119" spans="1:6" ht="11.25">
      <c r="A119" s="4">
        <f t="shared" si="1"/>
        <v>117</v>
      </c>
      <c r="B119" s="4" t="s">
        <v>769</v>
      </c>
      <c r="C119" s="4">
        <v>507021914</v>
      </c>
      <c r="D119" s="15">
        <v>129.43470377566666</v>
      </c>
      <c r="E119" s="15">
        <v>43.79260416666666</v>
      </c>
      <c r="F119" s="15">
        <v>85.642099609</v>
      </c>
    </row>
    <row r="120" spans="1:6" ht="11.25">
      <c r="A120" s="4">
        <f t="shared" si="1"/>
        <v>118</v>
      </c>
      <c r="B120" s="4" t="s">
        <v>813</v>
      </c>
      <c r="C120" s="4">
        <v>7724292706</v>
      </c>
      <c r="D120" s="15">
        <v>91.825169004</v>
      </c>
      <c r="E120" s="15">
        <v>6.402350576</v>
      </c>
      <c r="F120" s="15">
        <v>85.422818428</v>
      </c>
    </row>
    <row r="121" spans="1:6" ht="11.25">
      <c r="A121" s="4">
        <f t="shared" si="1"/>
        <v>119</v>
      </c>
      <c r="B121" s="4" t="s">
        <v>825</v>
      </c>
      <c r="C121" s="4">
        <v>7718251349</v>
      </c>
      <c r="D121" s="15">
        <v>85.38568540866667</v>
      </c>
      <c r="E121" s="15">
        <v>0</v>
      </c>
      <c r="F121" s="15">
        <v>85.38568540866667</v>
      </c>
    </row>
    <row r="122" spans="1:6" ht="11.25">
      <c r="A122" s="4">
        <f t="shared" si="1"/>
        <v>120</v>
      </c>
      <c r="B122" s="4" t="s">
        <v>817</v>
      </c>
      <c r="C122" s="4">
        <v>7718207759</v>
      </c>
      <c r="D122" s="15">
        <v>87.24424751333333</v>
      </c>
      <c r="E122" s="15">
        <v>1.9382479136666666</v>
      </c>
      <c r="F122" s="15">
        <v>85.30599959966666</v>
      </c>
    </row>
    <row r="123" spans="1:6" ht="11.25">
      <c r="A123" s="4">
        <f t="shared" si="1"/>
        <v>121</v>
      </c>
      <c r="B123" s="4" t="s">
        <v>826</v>
      </c>
      <c r="C123" s="4">
        <v>7728275187</v>
      </c>
      <c r="D123" s="15">
        <v>84.7672143</v>
      </c>
      <c r="E123" s="15">
        <v>0.021822733333333334</v>
      </c>
      <c r="F123" s="15">
        <v>84.74539156666667</v>
      </c>
    </row>
    <row r="124" spans="1:6" ht="11.25">
      <c r="A124" s="4">
        <f t="shared" si="1"/>
        <v>122</v>
      </c>
      <c r="B124" s="4" t="s">
        <v>1200</v>
      </c>
      <c r="C124" s="4">
        <v>7705035012</v>
      </c>
      <c r="D124" s="15">
        <v>87.41334066533334</v>
      </c>
      <c r="E124" s="15">
        <v>3.136807163</v>
      </c>
      <c r="F124" s="15">
        <v>84.27653350233334</v>
      </c>
    </row>
    <row r="125" spans="1:6" ht="11.25">
      <c r="A125" s="4">
        <f t="shared" si="1"/>
        <v>123</v>
      </c>
      <c r="B125" s="4" t="s">
        <v>829</v>
      </c>
      <c r="C125" s="4">
        <v>7720244370</v>
      </c>
      <c r="D125" s="15">
        <v>84.20053090333333</v>
      </c>
      <c r="E125" s="15">
        <v>0.12</v>
      </c>
      <c r="F125" s="15">
        <v>84.08053090333333</v>
      </c>
    </row>
    <row r="126" spans="1:6" ht="11.25">
      <c r="A126" s="4">
        <f t="shared" si="1"/>
        <v>124</v>
      </c>
      <c r="B126" s="4" t="s">
        <v>821</v>
      </c>
      <c r="C126" s="4">
        <v>7719272937</v>
      </c>
      <c r="D126" s="15">
        <v>88.68369417466666</v>
      </c>
      <c r="E126" s="15">
        <v>4.672226666666667</v>
      </c>
      <c r="F126" s="15">
        <v>84.01146750799998</v>
      </c>
    </row>
    <row r="127" spans="1:6" ht="11.25">
      <c r="A127" s="4">
        <f t="shared" si="1"/>
        <v>125</v>
      </c>
      <c r="B127" s="4" t="s">
        <v>828</v>
      </c>
      <c r="C127" s="4">
        <v>7706276363</v>
      </c>
      <c r="D127" s="15">
        <v>84.26104289566666</v>
      </c>
      <c r="E127" s="15">
        <v>0.28878600733333337</v>
      </c>
      <c r="F127" s="15">
        <v>83.97225688833333</v>
      </c>
    </row>
    <row r="128" spans="1:6" ht="11.25">
      <c r="A128" s="4">
        <f t="shared" si="1"/>
        <v>126</v>
      </c>
      <c r="B128" s="4" t="s">
        <v>790</v>
      </c>
      <c r="C128" s="4">
        <v>8001008261</v>
      </c>
      <c r="D128" s="15">
        <v>104.803344</v>
      </c>
      <c r="E128" s="15">
        <v>20.915510066666666</v>
      </c>
      <c r="F128" s="15">
        <v>83.88783393333333</v>
      </c>
    </row>
    <row r="129" spans="1:6" ht="11.25">
      <c r="A129" s="4">
        <f t="shared" si="1"/>
        <v>127</v>
      </c>
      <c r="B129" s="4" t="s">
        <v>760</v>
      </c>
      <c r="C129" s="4">
        <v>507021858</v>
      </c>
      <c r="D129" s="15">
        <v>140.553375904</v>
      </c>
      <c r="E129" s="15">
        <v>58.1845316</v>
      </c>
      <c r="F129" s="15">
        <v>82.368844304</v>
      </c>
    </row>
    <row r="130" spans="1:6" ht="11.25">
      <c r="A130" s="4">
        <f t="shared" si="1"/>
        <v>128</v>
      </c>
      <c r="B130" s="4" t="s">
        <v>833</v>
      </c>
      <c r="C130" s="4">
        <v>7705496920</v>
      </c>
      <c r="D130" s="15">
        <v>81.614650179</v>
      </c>
      <c r="E130" s="15">
        <v>0</v>
      </c>
      <c r="F130" s="15">
        <v>81.614650179</v>
      </c>
    </row>
    <row r="131" spans="1:6" ht="11.25">
      <c r="A131" s="4">
        <f t="shared" si="1"/>
        <v>129</v>
      </c>
      <c r="B131" s="4" t="s">
        <v>832</v>
      </c>
      <c r="C131" s="4">
        <v>7730164357</v>
      </c>
      <c r="D131" s="15">
        <v>81.63098179266667</v>
      </c>
      <c r="E131" s="15">
        <v>0.0237383</v>
      </c>
      <c r="F131" s="15">
        <v>81.60724349266667</v>
      </c>
    </row>
    <row r="132" spans="1:6" ht="11.25">
      <c r="A132" s="4">
        <f aca="true" t="shared" si="2" ref="A132:A195">1+A131</f>
        <v>130</v>
      </c>
      <c r="B132" s="4" t="s">
        <v>823</v>
      </c>
      <c r="C132" s="4">
        <v>7701335819</v>
      </c>
      <c r="D132" s="15">
        <v>85.66742409666666</v>
      </c>
      <c r="E132" s="15">
        <v>4.8426894733333326</v>
      </c>
      <c r="F132" s="15">
        <v>80.82473462333333</v>
      </c>
    </row>
    <row r="133" spans="1:6" ht="11.25">
      <c r="A133" s="4">
        <f t="shared" si="2"/>
        <v>131</v>
      </c>
      <c r="B133" s="4" t="s">
        <v>836</v>
      </c>
      <c r="C133" s="4">
        <v>7705450139</v>
      </c>
      <c r="D133" s="15">
        <v>81.284947354</v>
      </c>
      <c r="E133" s="15">
        <v>1.0308605623333333</v>
      </c>
      <c r="F133" s="15">
        <v>80.25408679166667</v>
      </c>
    </row>
    <row r="134" spans="1:6" ht="11.25">
      <c r="A134" s="4">
        <f t="shared" si="2"/>
        <v>132</v>
      </c>
      <c r="B134" s="4" t="s">
        <v>831</v>
      </c>
      <c r="C134" s="4">
        <v>7703354623</v>
      </c>
      <c r="D134" s="15">
        <v>81.77777785433334</v>
      </c>
      <c r="E134" s="15">
        <v>2.136289872</v>
      </c>
      <c r="F134" s="15">
        <v>79.64148798233333</v>
      </c>
    </row>
    <row r="135" spans="1:6" ht="11.25">
      <c r="A135" s="4">
        <f t="shared" si="2"/>
        <v>133</v>
      </c>
      <c r="B135" s="4" t="s">
        <v>834</v>
      </c>
      <c r="C135" s="4">
        <v>7719278054</v>
      </c>
      <c r="D135" s="15">
        <v>80.69222209666667</v>
      </c>
      <c r="E135" s="15">
        <v>1.886783041</v>
      </c>
      <c r="F135" s="15">
        <v>78.80543905566667</v>
      </c>
    </row>
    <row r="136" spans="1:6" ht="11.25">
      <c r="A136" s="4">
        <f t="shared" si="2"/>
        <v>134</v>
      </c>
      <c r="B136" s="4" t="s">
        <v>837</v>
      </c>
      <c r="C136" s="4">
        <v>7725180297</v>
      </c>
      <c r="D136" s="15">
        <v>79.21215750833333</v>
      </c>
      <c r="E136" s="15">
        <v>0.5782608683333333</v>
      </c>
      <c r="F136" s="15">
        <v>78.63389664</v>
      </c>
    </row>
    <row r="137" spans="1:6" ht="11.25">
      <c r="A137" s="4">
        <f t="shared" si="2"/>
        <v>135</v>
      </c>
      <c r="B137" s="4" t="s">
        <v>840</v>
      </c>
      <c r="C137" s="4">
        <v>7715216410</v>
      </c>
      <c r="D137" s="15">
        <v>78.40392133333333</v>
      </c>
      <c r="E137" s="15">
        <v>0.176794382</v>
      </c>
      <c r="F137" s="15">
        <v>78.22712695133333</v>
      </c>
    </row>
    <row r="138" spans="1:6" ht="11.25">
      <c r="A138" s="4">
        <f t="shared" si="2"/>
        <v>136</v>
      </c>
      <c r="B138" s="4" t="s">
        <v>812</v>
      </c>
      <c r="C138" s="4">
        <v>7703360289</v>
      </c>
      <c r="D138" s="15">
        <v>92.36097271733334</v>
      </c>
      <c r="E138" s="15">
        <v>15.515265172333335</v>
      </c>
      <c r="F138" s="15">
        <v>76.84570754500001</v>
      </c>
    </row>
    <row r="139" spans="1:6" ht="11.25">
      <c r="A139" s="4">
        <f t="shared" si="2"/>
        <v>137</v>
      </c>
      <c r="B139" s="4" t="s">
        <v>842</v>
      </c>
      <c r="C139" s="4">
        <v>7727129546</v>
      </c>
      <c r="D139" s="15">
        <v>76.71711258799999</v>
      </c>
      <c r="E139" s="15">
        <v>0.2959997306666667</v>
      </c>
      <c r="F139" s="15">
        <v>76.42111285733333</v>
      </c>
    </row>
    <row r="140" spans="1:6" ht="11.25">
      <c r="A140" s="4">
        <f t="shared" si="2"/>
        <v>138</v>
      </c>
      <c r="B140" s="4" t="s">
        <v>841</v>
      </c>
      <c r="C140" s="4">
        <v>4028027560</v>
      </c>
      <c r="D140" s="15">
        <v>76.88384576</v>
      </c>
      <c r="E140" s="15">
        <v>0.956016436</v>
      </c>
      <c r="F140" s="15">
        <v>75.927829324</v>
      </c>
    </row>
    <row r="141" spans="1:6" ht="11.25">
      <c r="A141" s="4">
        <f t="shared" si="2"/>
        <v>139</v>
      </c>
      <c r="B141" s="4" t="s">
        <v>805</v>
      </c>
      <c r="C141" s="4">
        <v>507021897</v>
      </c>
      <c r="D141" s="15">
        <v>95.81786440833334</v>
      </c>
      <c r="E141" s="15">
        <v>20.20003133333333</v>
      </c>
      <c r="F141" s="15">
        <v>75.61783307500001</v>
      </c>
    </row>
    <row r="142" spans="1:6" ht="11.25">
      <c r="A142" s="4">
        <f t="shared" si="2"/>
        <v>140</v>
      </c>
      <c r="B142" s="4" t="s">
        <v>849</v>
      </c>
      <c r="C142" s="4">
        <v>7703332348</v>
      </c>
      <c r="D142" s="15">
        <v>74.83957580500001</v>
      </c>
      <c r="E142" s="15">
        <v>0</v>
      </c>
      <c r="F142" s="15">
        <v>74.83957580500001</v>
      </c>
    </row>
    <row r="143" spans="1:6" ht="11.25">
      <c r="A143" s="4">
        <f t="shared" si="2"/>
        <v>141</v>
      </c>
      <c r="B143" s="4" t="s">
        <v>843</v>
      </c>
      <c r="C143" s="4">
        <v>7727234702</v>
      </c>
      <c r="D143" s="15">
        <v>76.58253375133333</v>
      </c>
      <c r="E143" s="15">
        <v>1.754237955</v>
      </c>
      <c r="F143" s="15">
        <v>74.82829579633334</v>
      </c>
    </row>
    <row r="144" spans="1:6" ht="11.25">
      <c r="A144" s="4">
        <f t="shared" si="2"/>
        <v>142</v>
      </c>
      <c r="B144" s="4" t="s">
        <v>820</v>
      </c>
      <c r="C144" s="4">
        <v>7703329433</v>
      </c>
      <c r="D144" s="15">
        <v>88.23594636866666</v>
      </c>
      <c r="E144" s="15">
        <v>13.632617245666667</v>
      </c>
      <c r="F144" s="15">
        <v>74.603329123</v>
      </c>
    </row>
    <row r="145" spans="1:6" ht="11.25">
      <c r="A145" s="4">
        <f t="shared" si="2"/>
        <v>143</v>
      </c>
      <c r="B145" s="4" t="s">
        <v>827</v>
      </c>
      <c r="C145" s="4">
        <v>8001008310</v>
      </c>
      <c r="D145" s="15">
        <v>84.33704666666667</v>
      </c>
      <c r="E145" s="15">
        <v>9.8524605</v>
      </c>
      <c r="F145" s="15">
        <v>74.48458616666667</v>
      </c>
    </row>
    <row r="146" spans="1:6" ht="11.25">
      <c r="A146" s="4">
        <f t="shared" si="2"/>
        <v>144</v>
      </c>
      <c r="B146" s="4" t="s">
        <v>845</v>
      </c>
      <c r="C146" s="4">
        <v>7710151906</v>
      </c>
      <c r="D146" s="15">
        <v>75.68261202766666</v>
      </c>
      <c r="E146" s="15">
        <v>1.267964144</v>
      </c>
      <c r="F146" s="15">
        <v>74.41464788366666</v>
      </c>
    </row>
    <row r="147" spans="1:6" ht="11.25">
      <c r="A147" s="4">
        <f t="shared" si="2"/>
        <v>145</v>
      </c>
      <c r="B147" s="4" t="s">
        <v>846</v>
      </c>
      <c r="C147" s="4">
        <v>7713334915</v>
      </c>
      <c r="D147" s="15">
        <v>75.157178002</v>
      </c>
      <c r="E147" s="15">
        <v>1.6029016453333333</v>
      </c>
      <c r="F147" s="15">
        <v>73.55427635666666</v>
      </c>
    </row>
    <row r="148" spans="1:6" ht="11.25">
      <c r="A148" s="4">
        <f t="shared" si="2"/>
        <v>146</v>
      </c>
      <c r="B148" s="4" t="s">
        <v>852</v>
      </c>
      <c r="C148" s="4">
        <v>2464046954</v>
      </c>
      <c r="D148" s="15">
        <v>73.25121629166667</v>
      </c>
      <c r="E148" s="15">
        <v>0</v>
      </c>
      <c r="F148" s="15">
        <v>73.25121629166667</v>
      </c>
    </row>
    <row r="149" spans="1:6" ht="11.25">
      <c r="A149" s="4">
        <f t="shared" si="2"/>
        <v>147</v>
      </c>
      <c r="B149" s="4" t="s">
        <v>815</v>
      </c>
      <c r="C149" s="4">
        <v>7708227604</v>
      </c>
      <c r="D149" s="15">
        <v>94.82548292033334</v>
      </c>
      <c r="E149" s="15">
        <v>21.608640657333336</v>
      </c>
      <c r="F149" s="15">
        <v>73.216842263</v>
      </c>
    </row>
    <row r="150" spans="1:6" ht="11.25">
      <c r="A150" s="4">
        <f t="shared" si="2"/>
        <v>148</v>
      </c>
      <c r="B150" s="4" t="s">
        <v>830</v>
      </c>
      <c r="C150" s="4">
        <v>7717505664</v>
      </c>
      <c r="D150" s="15">
        <v>84.13244393333333</v>
      </c>
      <c r="E150" s="15">
        <v>11.216666666666667</v>
      </c>
      <c r="F150" s="15">
        <v>72.91577726666667</v>
      </c>
    </row>
    <row r="151" spans="1:6" ht="11.25">
      <c r="A151" s="4">
        <f t="shared" si="2"/>
        <v>149</v>
      </c>
      <c r="B151" s="4" t="s">
        <v>851</v>
      </c>
      <c r="C151" s="4">
        <v>7724273870</v>
      </c>
      <c r="D151" s="15">
        <v>74.51135135199999</v>
      </c>
      <c r="E151" s="15">
        <v>2.15114088</v>
      </c>
      <c r="F151" s="15">
        <v>72.36021047199999</v>
      </c>
    </row>
    <row r="152" spans="1:6" ht="11.25">
      <c r="A152" s="4">
        <f t="shared" si="2"/>
        <v>150</v>
      </c>
      <c r="B152" s="4" t="s">
        <v>824</v>
      </c>
      <c r="C152" s="4">
        <v>7715345133</v>
      </c>
      <c r="D152" s="15">
        <v>85.59648845333334</v>
      </c>
      <c r="E152" s="15">
        <v>13.793748426333334</v>
      </c>
      <c r="F152" s="15">
        <v>71.802740027</v>
      </c>
    </row>
    <row r="153" spans="1:6" ht="11.25">
      <c r="A153" s="4">
        <f t="shared" si="2"/>
        <v>151</v>
      </c>
      <c r="B153" s="4" t="s">
        <v>857</v>
      </c>
      <c r="C153" s="4">
        <v>7719252070</v>
      </c>
      <c r="D153" s="15">
        <v>72.24497577733334</v>
      </c>
      <c r="E153" s="15">
        <v>0.5224522266666667</v>
      </c>
      <c r="F153" s="15">
        <v>71.72252355066666</v>
      </c>
    </row>
    <row r="154" spans="1:6" ht="11.25">
      <c r="A154" s="4">
        <f t="shared" si="2"/>
        <v>152</v>
      </c>
      <c r="B154" s="4" t="s">
        <v>855</v>
      </c>
      <c r="C154" s="4">
        <v>8911000673</v>
      </c>
      <c r="D154" s="15">
        <v>76.028569861</v>
      </c>
      <c r="E154" s="15">
        <v>4.876348105333333</v>
      </c>
      <c r="F154" s="15">
        <v>71.15222175566666</v>
      </c>
    </row>
    <row r="155" spans="1:6" ht="11.25">
      <c r="A155" s="4">
        <f t="shared" si="2"/>
        <v>153</v>
      </c>
      <c r="B155" s="4" t="s">
        <v>835</v>
      </c>
      <c r="C155" s="4">
        <v>7709520299</v>
      </c>
      <c r="D155" s="15">
        <v>73.166714548</v>
      </c>
      <c r="E155" s="15">
        <v>2.3610062486666665</v>
      </c>
      <c r="F155" s="15">
        <v>70.80570829933333</v>
      </c>
    </row>
    <row r="156" spans="1:6" ht="11.25">
      <c r="A156" s="4">
        <f t="shared" si="2"/>
        <v>154</v>
      </c>
      <c r="B156" s="4" t="s">
        <v>865</v>
      </c>
      <c r="C156" s="4">
        <v>7731136747</v>
      </c>
      <c r="D156" s="15">
        <v>70.6326855</v>
      </c>
      <c r="E156" s="15">
        <v>0.20333333333333334</v>
      </c>
      <c r="F156" s="15">
        <v>70.42935216666666</v>
      </c>
    </row>
    <row r="157" spans="1:6" ht="11.25">
      <c r="A157" s="4">
        <f t="shared" si="2"/>
        <v>155</v>
      </c>
      <c r="B157" s="4" t="s">
        <v>886</v>
      </c>
      <c r="C157" s="4">
        <v>7728260399</v>
      </c>
      <c r="D157" s="15">
        <v>70.37757995566668</v>
      </c>
      <c r="E157" s="15">
        <v>1.6666666666666667E-05</v>
      </c>
      <c r="F157" s="15">
        <v>70.37756328900001</v>
      </c>
    </row>
    <row r="158" spans="1:6" ht="11.25">
      <c r="A158" s="4">
        <f t="shared" si="2"/>
        <v>156</v>
      </c>
      <c r="B158" s="4" t="s">
        <v>860</v>
      </c>
      <c r="C158" s="4">
        <v>7715368194</v>
      </c>
      <c r="D158" s="15">
        <v>72.90909181299999</v>
      </c>
      <c r="E158" s="15">
        <v>2.731693829</v>
      </c>
      <c r="F158" s="15">
        <v>70.177397984</v>
      </c>
    </row>
    <row r="159" spans="1:6" ht="11.25">
      <c r="A159" s="4">
        <f t="shared" si="2"/>
        <v>157</v>
      </c>
      <c r="B159" s="4" t="s">
        <v>863</v>
      </c>
      <c r="C159" s="4">
        <v>7722291023</v>
      </c>
      <c r="D159" s="15">
        <v>70.885078866</v>
      </c>
      <c r="E159" s="15">
        <v>0.7847611726666667</v>
      </c>
      <c r="F159" s="15">
        <v>70.10031769333334</v>
      </c>
    </row>
    <row r="160" spans="1:6" ht="11.25">
      <c r="A160" s="4">
        <f t="shared" si="2"/>
        <v>158</v>
      </c>
      <c r="B160" s="4" t="s">
        <v>783</v>
      </c>
      <c r="C160" s="4">
        <v>7707308628</v>
      </c>
      <c r="D160" s="15">
        <v>111.14301836966668</v>
      </c>
      <c r="E160" s="15">
        <v>41.284596996333335</v>
      </c>
      <c r="F160" s="15">
        <v>69.85842137333334</v>
      </c>
    </row>
    <row r="161" spans="1:6" ht="11.25">
      <c r="A161" s="4">
        <f t="shared" si="2"/>
        <v>159</v>
      </c>
      <c r="B161" s="4" t="s">
        <v>872</v>
      </c>
      <c r="C161" s="4">
        <v>5032057496</v>
      </c>
      <c r="D161" s="15">
        <v>69.814868757</v>
      </c>
      <c r="E161" s="15">
        <v>0.083497</v>
      </c>
      <c r="F161" s="15">
        <v>69.731371757</v>
      </c>
    </row>
    <row r="162" spans="1:6" ht="11.25">
      <c r="A162" s="4">
        <f t="shared" si="2"/>
        <v>160</v>
      </c>
      <c r="B162" s="4" t="s">
        <v>875</v>
      </c>
      <c r="C162" s="4">
        <v>7705502877</v>
      </c>
      <c r="D162" s="15">
        <v>69.466964112</v>
      </c>
      <c r="E162" s="15">
        <v>2E-05</v>
      </c>
      <c r="F162" s="15">
        <v>69.466944112</v>
      </c>
    </row>
    <row r="163" spans="1:6" ht="11.25">
      <c r="A163" s="4">
        <f t="shared" si="2"/>
        <v>161</v>
      </c>
      <c r="B163" s="4" t="s">
        <v>868</v>
      </c>
      <c r="C163" s="4">
        <v>5405228852</v>
      </c>
      <c r="D163" s="15">
        <v>70.30764509766666</v>
      </c>
      <c r="E163" s="15">
        <v>0.862121114</v>
      </c>
      <c r="F163" s="15">
        <v>69.44552398366666</v>
      </c>
    </row>
    <row r="164" spans="1:6" ht="11.25">
      <c r="A164" s="4">
        <f t="shared" si="2"/>
        <v>162</v>
      </c>
      <c r="B164" s="4" t="s">
        <v>876</v>
      </c>
      <c r="C164" s="4">
        <v>6831022646</v>
      </c>
      <c r="D164" s="15">
        <v>69.40078769733334</v>
      </c>
      <c r="E164" s="15">
        <v>0.00959817</v>
      </c>
      <c r="F164" s="15">
        <v>69.39118952733334</v>
      </c>
    </row>
    <row r="165" spans="1:6" ht="11.25">
      <c r="A165" s="4">
        <f t="shared" si="2"/>
        <v>163</v>
      </c>
      <c r="B165" s="4" t="s">
        <v>866</v>
      </c>
      <c r="C165" s="4">
        <v>7730138614</v>
      </c>
      <c r="D165" s="15">
        <v>70.60409309233333</v>
      </c>
      <c r="E165" s="15">
        <v>1.3333333333333333</v>
      </c>
      <c r="F165" s="15">
        <v>69.270759759</v>
      </c>
    </row>
    <row r="166" spans="1:6" ht="11.25">
      <c r="A166" s="4">
        <f t="shared" si="2"/>
        <v>164</v>
      </c>
      <c r="B166" s="4" t="s">
        <v>864</v>
      </c>
      <c r="C166" s="4">
        <v>7724193328</v>
      </c>
      <c r="D166" s="15">
        <v>70.908027764</v>
      </c>
      <c r="E166" s="15">
        <v>2.2374259663333333</v>
      </c>
      <c r="F166" s="15">
        <v>68.67060179766666</v>
      </c>
    </row>
    <row r="167" spans="1:6" ht="11.25">
      <c r="A167" s="4">
        <f t="shared" si="2"/>
        <v>165</v>
      </c>
      <c r="B167" s="4" t="s">
        <v>883</v>
      </c>
      <c r="C167" s="4">
        <v>7710382283</v>
      </c>
      <c r="D167" s="15">
        <v>67.93233532066667</v>
      </c>
      <c r="E167" s="15">
        <v>0</v>
      </c>
      <c r="F167" s="15">
        <v>67.93233532066667</v>
      </c>
    </row>
    <row r="168" spans="1:6" ht="22.5">
      <c r="A168" s="4">
        <f t="shared" si="2"/>
        <v>166</v>
      </c>
      <c r="B168" s="4" t="s">
        <v>856</v>
      </c>
      <c r="C168" s="4">
        <v>5042071958</v>
      </c>
      <c r="D168" s="15">
        <v>67.80532549733334</v>
      </c>
      <c r="E168" s="15">
        <v>0</v>
      </c>
      <c r="F168" s="15">
        <v>67.80532549733334</v>
      </c>
    </row>
    <row r="169" spans="1:6" ht="22.5">
      <c r="A169" s="4">
        <f t="shared" si="2"/>
        <v>167</v>
      </c>
      <c r="B169" s="4" t="s">
        <v>809</v>
      </c>
      <c r="C169" s="4">
        <v>411117164</v>
      </c>
      <c r="D169" s="15">
        <v>94.64550711733334</v>
      </c>
      <c r="E169" s="15">
        <v>27.100525761</v>
      </c>
      <c r="F169" s="15">
        <v>67.54498135633334</v>
      </c>
    </row>
    <row r="170" spans="1:6" ht="11.25">
      <c r="A170" s="4">
        <f t="shared" si="2"/>
        <v>168</v>
      </c>
      <c r="B170" s="4" t="s">
        <v>889</v>
      </c>
      <c r="C170" s="4">
        <v>411106758</v>
      </c>
      <c r="D170" s="15">
        <v>67.262785346</v>
      </c>
      <c r="E170" s="15">
        <v>0</v>
      </c>
      <c r="F170" s="15">
        <v>67.262785346</v>
      </c>
    </row>
    <row r="171" spans="1:6" ht="11.25">
      <c r="A171" s="4">
        <f t="shared" si="2"/>
        <v>169</v>
      </c>
      <c r="B171" s="4" t="s">
        <v>880</v>
      </c>
      <c r="C171" s="4">
        <v>7702300142</v>
      </c>
      <c r="D171" s="15">
        <v>68.81856745933334</v>
      </c>
      <c r="E171" s="15">
        <v>1.7901418056666667</v>
      </c>
      <c r="F171" s="15">
        <v>67.02842565366667</v>
      </c>
    </row>
    <row r="172" spans="1:6" ht="11.25">
      <c r="A172" s="4">
        <f t="shared" si="2"/>
        <v>170</v>
      </c>
      <c r="B172" s="4" t="s">
        <v>887</v>
      </c>
      <c r="C172" s="4">
        <v>7730164526</v>
      </c>
      <c r="D172" s="15">
        <v>67.79443425833334</v>
      </c>
      <c r="E172" s="15">
        <v>0.7884202006666666</v>
      </c>
      <c r="F172" s="15">
        <v>67.00601405766668</v>
      </c>
    </row>
    <row r="173" spans="1:6" ht="11.25">
      <c r="A173" s="4">
        <f t="shared" si="2"/>
        <v>171</v>
      </c>
      <c r="B173" s="4" t="s">
        <v>874</v>
      </c>
      <c r="C173" s="4">
        <v>7715295362</v>
      </c>
      <c r="D173" s="15">
        <v>69.53406979</v>
      </c>
      <c r="E173" s="15">
        <v>2.6863536443333333</v>
      </c>
      <c r="F173" s="15">
        <v>66.84771614566667</v>
      </c>
    </row>
    <row r="174" spans="1:6" ht="11.25">
      <c r="A174" s="4">
        <f t="shared" si="2"/>
        <v>172</v>
      </c>
      <c r="B174" s="4" t="s">
        <v>847</v>
      </c>
      <c r="C174" s="4">
        <v>7709515235</v>
      </c>
      <c r="D174" s="15">
        <v>75.10321080033334</v>
      </c>
      <c r="E174" s="15">
        <v>8.311312665666666</v>
      </c>
      <c r="F174" s="15">
        <v>66.79189813466668</v>
      </c>
    </row>
    <row r="175" spans="1:6" ht="11.25">
      <c r="A175" s="4">
        <f t="shared" si="2"/>
        <v>173</v>
      </c>
      <c r="B175" s="4" t="s">
        <v>869</v>
      </c>
      <c r="C175" s="4">
        <v>7714537298</v>
      </c>
      <c r="D175" s="15">
        <v>67.34352729833334</v>
      </c>
      <c r="E175" s="15">
        <v>0.8206859833333333</v>
      </c>
      <c r="F175" s="15">
        <v>66.52284131500001</v>
      </c>
    </row>
    <row r="176" spans="1:6" ht="22.5">
      <c r="A176" s="4">
        <f t="shared" si="2"/>
        <v>174</v>
      </c>
      <c r="B176" s="4" t="s">
        <v>854</v>
      </c>
      <c r="C176" s="4">
        <v>7730087550</v>
      </c>
      <c r="D176" s="15">
        <v>72.643795204</v>
      </c>
      <c r="E176" s="15">
        <v>6.202857369</v>
      </c>
      <c r="F176" s="15">
        <v>66.440937835</v>
      </c>
    </row>
    <row r="177" spans="1:6" ht="11.25">
      <c r="A177" s="4">
        <f t="shared" si="2"/>
        <v>175</v>
      </c>
      <c r="B177" s="4" t="s">
        <v>859</v>
      </c>
      <c r="C177" s="4">
        <v>7725199876</v>
      </c>
      <c r="D177" s="15">
        <v>71.756533359</v>
      </c>
      <c r="E177" s="15">
        <v>5.758670120333334</v>
      </c>
      <c r="F177" s="15">
        <v>65.99786323866667</v>
      </c>
    </row>
    <row r="178" spans="1:6" ht="11.25">
      <c r="A178" s="4">
        <f t="shared" si="2"/>
        <v>176</v>
      </c>
      <c r="B178" s="4" t="s">
        <v>890</v>
      </c>
      <c r="C178" s="4">
        <v>7731169044</v>
      </c>
      <c r="D178" s="15">
        <v>66.85320004133334</v>
      </c>
      <c r="E178" s="15">
        <v>1.1386678943333333</v>
      </c>
      <c r="F178" s="15">
        <v>65.714532147</v>
      </c>
    </row>
    <row r="179" spans="1:6" ht="11.25">
      <c r="A179" s="4">
        <f t="shared" si="2"/>
        <v>177</v>
      </c>
      <c r="B179" s="4" t="s">
        <v>895</v>
      </c>
      <c r="C179" s="4">
        <v>7704221591</v>
      </c>
      <c r="D179" s="15">
        <v>65.57705916633333</v>
      </c>
      <c r="E179" s="15">
        <v>0.013183266666666667</v>
      </c>
      <c r="F179" s="15">
        <v>65.56387589966666</v>
      </c>
    </row>
    <row r="180" spans="1:6" ht="11.25">
      <c r="A180" s="4">
        <f t="shared" si="2"/>
        <v>178</v>
      </c>
      <c r="B180" s="4" t="s">
        <v>873</v>
      </c>
      <c r="C180" s="4">
        <v>7703502166</v>
      </c>
      <c r="D180" s="15">
        <v>69.69708440766667</v>
      </c>
      <c r="E180" s="15">
        <v>4.2771027969999995</v>
      </c>
      <c r="F180" s="15">
        <v>65.41998161066667</v>
      </c>
    </row>
    <row r="181" spans="1:6" ht="11.25">
      <c r="A181" s="4">
        <f t="shared" si="2"/>
        <v>179</v>
      </c>
      <c r="B181" s="4" t="s">
        <v>222</v>
      </c>
      <c r="C181" s="4">
        <v>7717138887</v>
      </c>
      <c r="D181" s="15">
        <v>65.66804419</v>
      </c>
      <c r="E181" s="15">
        <v>0.3314449763333333</v>
      </c>
      <c r="F181" s="15">
        <v>65.33659921366667</v>
      </c>
    </row>
    <row r="182" spans="1:6" ht="11.25">
      <c r="A182" s="4">
        <f t="shared" si="2"/>
        <v>180</v>
      </c>
      <c r="B182" s="4" t="s">
        <v>786</v>
      </c>
      <c r="C182" s="4">
        <v>7713223620</v>
      </c>
      <c r="D182" s="15">
        <v>110.12973333333333</v>
      </c>
      <c r="E182" s="15">
        <v>44.912050177666664</v>
      </c>
      <c r="F182" s="15">
        <v>65.21768315566666</v>
      </c>
    </row>
    <row r="183" spans="1:6" ht="11.25">
      <c r="A183" s="4">
        <f t="shared" si="2"/>
        <v>181</v>
      </c>
      <c r="B183" s="4" t="s">
        <v>754</v>
      </c>
      <c r="C183" s="4">
        <v>507021865</v>
      </c>
      <c r="D183" s="15">
        <v>158.18254031366666</v>
      </c>
      <c r="E183" s="15">
        <v>93.249478462</v>
      </c>
      <c r="F183" s="15">
        <v>64.93306185166666</v>
      </c>
    </row>
    <row r="184" spans="1:6" ht="11.25">
      <c r="A184" s="4">
        <f t="shared" si="2"/>
        <v>182</v>
      </c>
      <c r="B184" s="4" t="s">
        <v>885</v>
      </c>
      <c r="C184" s="4">
        <v>7727232021</v>
      </c>
      <c r="D184" s="15">
        <v>67.74222871233333</v>
      </c>
      <c r="E184" s="15">
        <v>2.9544797743333335</v>
      </c>
      <c r="F184" s="15">
        <v>64.787748938</v>
      </c>
    </row>
    <row r="185" spans="1:6" ht="11.25">
      <c r="A185" s="4">
        <f t="shared" si="2"/>
        <v>183</v>
      </c>
      <c r="B185" s="4" t="s">
        <v>807</v>
      </c>
      <c r="C185" s="4">
        <v>7703324001</v>
      </c>
      <c r="D185" s="15">
        <v>95.398256571</v>
      </c>
      <c r="E185" s="15">
        <v>31.068362894666667</v>
      </c>
      <c r="F185" s="15">
        <v>64.32989367633334</v>
      </c>
    </row>
    <row r="186" spans="1:6" ht="11.25">
      <c r="A186" s="4">
        <f t="shared" si="2"/>
        <v>184</v>
      </c>
      <c r="B186" s="4" t="s">
        <v>879</v>
      </c>
      <c r="C186" s="4">
        <v>7733130613</v>
      </c>
      <c r="D186" s="15">
        <v>68.671377334</v>
      </c>
      <c r="E186" s="15">
        <v>4.565898685666666</v>
      </c>
      <c r="F186" s="15">
        <v>64.10547864833333</v>
      </c>
    </row>
    <row r="187" spans="1:6" ht="11.25">
      <c r="A187" s="4">
        <f t="shared" si="2"/>
        <v>185</v>
      </c>
      <c r="B187" s="4" t="s">
        <v>904</v>
      </c>
      <c r="C187" s="4">
        <v>7709515316</v>
      </c>
      <c r="D187" s="15">
        <v>64.19287991066666</v>
      </c>
      <c r="E187" s="15">
        <v>0.16663998333333332</v>
      </c>
      <c r="F187" s="15">
        <v>64.02623992733332</v>
      </c>
    </row>
    <row r="188" spans="1:6" ht="11.25">
      <c r="A188" s="4">
        <f t="shared" si="2"/>
        <v>186</v>
      </c>
      <c r="B188" s="4" t="s">
        <v>892</v>
      </c>
      <c r="C188" s="4">
        <v>7718201958</v>
      </c>
      <c r="D188" s="15">
        <v>66.04966043933334</v>
      </c>
      <c r="E188" s="15">
        <v>2.198325246</v>
      </c>
      <c r="F188" s="15">
        <v>63.851335193333334</v>
      </c>
    </row>
    <row r="189" spans="1:6" ht="34.5">
      <c r="A189" s="4">
        <f t="shared" si="2"/>
        <v>187</v>
      </c>
      <c r="B189" s="4" t="s">
        <v>928</v>
      </c>
      <c r="C189" s="4">
        <v>2310031475</v>
      </c>
      <c r="D189" s="15">
        <v>63.71068662733333</v>
      </c>
      <c r="E189" s="15">
        <v>0.017166403333333333</v>
      </c>
      <c r="F189" s="15">
        <v>63.693520224</v>
      </c>
    </row>
    <row r="190" spans="1:6" ht="11.25">
      <c r="A190" s="4">
        <f t="shared" si="2"/>
        <v>188</v>
      </c>
      <c r="B190" s="4" t="s">
        <v>1015</v>
      </c>
      <c r="C190" s="4">
        <v>7719252120</v>
      </c>
      <c r="D190" s="15">
        <v>66.272681343</v>
      </c>
      <c r="E190" s="15">
        <v>2.970271433666667</v>
      </c>
      <c r="F190" s="15">
        <v>63.302409909333335</v>
      </c>
    </row>
    <row r="191" spans="1:6" ht="11.25">
      <c r="A191" s="4">
        <f t="shared" si="2"/>
        <v>189</v>
      </c>
      <c r="B191" s="4" t="s">
        <v>914</v>
      </c>
      <c r="C191" s="4">
        <v>814154377</v>
      </c>
      <c r="D191" s="15">
        <v>63.020554498</v>
      </c>
      <c r="E191" s="15">
        <v>0.005279038333333333</v>
      </c>
      <c r="F191" s="15">
        <v>63.01527545966667</v>
      </c>
    </row>
    <row r="192" spans="1:6" ht="11.25">
      <c r="A192" s="4">
        <f t="shared" si="2"/>
        <v>190</v>
      </c>
      <c r="B192" s="4" t="s">
        <v>915</v>
      </c>
      <c r="C192" s="4">
        <v>7705432387</v>
      </c>
      <c r="D192" s="15">
        <v>67.399667559</v>
      </c>
      <c r="E192" s="15">
        <v>4.595514551333333</v>
      </c>
      <c r="F192" s="15">
        <v>62.80415300766666</v>
      </c>
    </row>
    <row r="193" spans="1:6" ht="11.25">
      <c r="A193" s="4">
        <f t="shared" si="2"/>
        <v>191</v>
      </c>
      <c r="B193" s="4" t="s">
        <v>899</v>
      </c>
      <c r="C193" s="4">
        <v>7705499649</v>
      </c>
      <c r="D193" s="15">
        <v>62.918639807666665</v>
      </c>
      <c r="E193" s="15">
        <v>0.3821597766666667</v>
      </c>
      <c r="F193" s="15">
        <v>62.536480030999996</v>
      </c>
    </row>
    <row r="194" spans="1:6" ht="11.25">
      <c r="A194" s="4">
        <f t="shared" si="2"/>
        <v>192</v>
      </c>
      <c r="B194" s="4" t="s">
        <v>920</v>
      </c>
      <c r="C194" s="4">
        <v>7727213639</v>
      </c>
      <c r="D194" s="15">
        <v>62.45208490433334</v>
      </c>
      <c r="E194" s="15">
        <v>0</v>
      </c>
      <c r="F194" s="15">
        <v>62.45208490433334</v>
      </c>
    </row>
    <row r="195" spans="1:6" ht="11.25">
      <c r="A195" s="4">
        <f t="shared" si="2"/>
        <v>193</v>
      </c>
      <c r="B195" s="4" t="s">
        <v>917</v>
      </c>
      <c r="C195" s="4">
        <v>7713520855</v>
      </c>
      <c r="D195" s="15">
        <v>62.660623833</v>
      </c>
      <c r="E195" s="15">
        <v>0.5271484696666666</v>
      </c>
      <c r="F195" s="15">
        <v>62.13347536333334</v>
      </c>
    </row>
    <row r="196" spans="1:6" ht="11.25">
      <c r="A196" s="4">
        <f aca="true" t="shared" si="3" ref="A196:A259">1+A195</f>
        <v>194</v>
      </c>
      <c r="B196" s="4" t="s">
        <v>893</v>
      </c>
      <c r="C196" s="4">
        <v>7733174480</v>
      </c>
      <c r="D196" s="15">
        <v>66.022421233</v>
      </c>
      <c r="E196" s="15">
        <v>4.235233658666667</v>
      </c>
      <c r="F196" s="15">
        <v>61.78718757433334</v>
      </c>
    </row>
    <row r="197" spans="1:6" ht="11.25">
      <c r="A197" s="4">
        <f t="shared" si="3"/>
        <v>195</v>
      </c>
      <c r="B197" s="4" t="s">
        <v>922</v>
      </c>
      <c r="C197" s="4">
        <v>7728177870</v>
      </c>
      <c r="D197" s="15">
        <v>61.93272489733334</v>
      </c>
      <c r="E197" s="15">
        <v>0.19083333333333333</v>
      </c>
      <c r="F197" s="15">
        <v>61.74189156400001</v>
      </c>
    </row>
    <row r="198" spans="1:6" ht="11.25">
      <c r="A198" s="4">
        <f t="shared" si="3"/>
        <v>196</v>
      </c>
      <c r="B198" s="4" t="s">
        <v>881</v>
      </c>
      <c r="C198" s="4">
        <v>7707295256</v>
      </c>
      <c r="D198" s="15">
        <v>68.112610402</v>
      </c>
      <c r="E198" s="15">
        <v>6.431956369666667</v>
      </c>
      <c r="F198" s="15">
        <v>61.68065403233334</v>
      </c>
    </row>
    <row r="199" spans="1:6" ht="11.25">
      <c r="A199" s="4">
        <f t="shared" si="3"/>
        <v>197</v>
      </c>
      <c r="B199" s="4" t="s">
        <v>816</v>
      </c>
      <c r="C199" s="4">
        <v>7718248515</v>
      </c>
      <c r="D199" s="15">
        <v>89.47447510233334</v>
      </c>
      <c r="E199" s="15">
        <v>28.002077733333333</v>
      </c>
      <c r="F199" s="15">
        <v>61.47239736900001</v>
      </c>
    </row>
    <row r="200" spans="1:6" ht="11.25">
      <c r="A200" s="4">
        <f t="shared" si="3"/>
        <v>198</v>
      </c>
      <c r="B200" s="4" t="s">
        <v>903</v>
      </c>
      <c r="C200" s="4">
        <v>7702312613</v>
      </c>
      <c r="D200" s="15">
        <v>64.37169352566667</v>
      </c>
      <c r="E200" s="15">
        <v>2.991487222666667</v>
      </c>
      <c r="F200" s="15">
        <v>61.380206303</v>
      </c>
    </row>
    <row r="201" spans="1:6" ht="11.25">
      <c r="A201" s="4">
        <f t="shared" si="3"/>
        <v>199</v>
      </c>
      <c r="B201" s="4" t="s">
        <v>927</v>
      </c>
      <c r="C201" s="4">
        <v>7717148652</v>
      </c>
      <c r="D201" s="15">
        <v>61.13756684333333</v>
      </c>
      <c r="E201" s="15">
        <v>0.16666666666666666</v>
      </c>
      <c r="F201" s="15">
        <v>60.97090017666667</v>
      </c>
    </row>
    <row r="202" spans="1:6" ht="11.25">
      <c r="A202" s="4">
        <f t="shared" si="3"/>
        <v>200</v>
      </c>
      <c r="B202" s="4" t="s">
        <v>918</v>
      </c>
      <c r="C202" s="4">
        <v>7701292636</v>
      </c>
      <c r="D202" s="15">
        <v>62.568691531666666</v>
      </c>
      <c r="E202" s="15">
        <v>1.701013507</v>
      </c>
      <c r="F202" s="15">
        <v>60.86767802466667</v>
      </c>
    </row>
    <row r="203" spans="1:6" ht="11.25">
      <c r="A203" s="4">
        <f t="shared" si="3"/>
        <v>201</v>
      </c>
      <c r="B203" s="4" t="s">
        <v>937</v>
      </c>
      <c r="C203" s="4">
        <v>7715354120</v>
      </c>
      <c r="D203" s="15">
        <v>61.071716011666666</v>
      </c>
      <c r="E203" s="15">
        <v>0.5064700376666667</v>
      </c>
      <c r="F203" s="15">
        <v>60.565245974</v>
      </c>
    </row>
    <row r="204" spans="1:6" ht="11.25">
      <c r="A204" s="4">
        <f t="shared" si="3"/>
        <v>202</v>
      </c>
      <c r="B204" s="4" t="s">
        <v>930</v>
      </c>
      <c r="C204" s="4">
        <v>7702515596</v>
      </c>
      <c r="D204" s="15">
        <v>60.90051505</v>
      </c>
      <c r="E204" s="15">
        <v>0.3791333333333333</v>
      </c>
      <c r="F204" s="15">
        <v>60.52138171666667</v>
      </c>
    </row>
    <row r="205" spans="1:6" ht="11.25">
      <c r="A205" s="4">
        <f t="shared" si="3"/>
        <v>203</v>
      </c>
      <c r="B205" s="4" t="s">
        <v>862</v>
      </c>
      <c r="C205" s="4">
        <v>7722293415</v>
      </c>
      <c r="D205" s="15">
        <v>71.85516438766668</v>
      </c>
      <c r="E205" s="15">
        <v>11.499958124666668</v>
      </c>
      <c r="F205" s="15">
        <v>60.35520626300001</v>
      </c>
    </row>
    <row r="206" spans="1:6" ht="11.25">
      <c r="A206" s="4">
        <f t="shared" si="3"/>
        <v>204</v>
      </c>
      <c r="B206" s="4" t="s">
        <v>941</v>
      </c>
      <c r="C206" s="4">
        <v>7729405223</v>
      </c>
      <c r="D206" s="15">
        <v>60.069718707</v>
      </c>
      <c r="E206" s="15">
        <v>0.025716666666666665</v>
      </c>
      <c r="F206" s="15">
        <v>60.04400204033333</v>
      </c>
    </row>
    <row r="207" spans="1:6" ht="11.25">
      <c r="A207" s="4">
        <f t="shared" si="3"/>
        <v>205</v>
      </c>
      <c r="B207" s="4" t="s">
        <v>921</v>
      </c>
      <c r="C207" s="4">
        <v>7703298880</v>
      </c>
      <c r="D207" s="15">
        <v>62.34276291533333</v>
      </c>
      <c r="E207" s="15">
        <v>2.2992725973333332</v>
      </c>
      <c r="F207" s="15">
        <v>60.043490317999996</v>
      </c>
    </row>
    <row r="208" spans="1:6" ht="11.25">
      <c r="A208" s="4">
        <f t="shared" si="3"/>
        <v>206</v>
      </c>
      <c r="B208" s="4" t="s">
        <v>894</v>
      </c>
      <c r="C208" s="4">
        <v>7729382551</v>
      </c>
      <c r="D208" s="15">
        <v>65.63185441233333</v>
      </c>
      <c r="E208" s="15">
        <v>5.652374865666666</v>
      </c>
      <c r="F208" s="15">
        <v>59.97947954666666</v>
      </c>
    </row>
    <row r="209" spans="1:6" ht="34.5">
      <c r="A209" s="4">
        <f t="shared" si="3"/>
        <v>207</v>
      </c>
      <c r="B209" s="4" t="s">
        <v>712</v>
      </c>
      <c r="C209" s="4">
        <v>7709354490</v>
      </c>
      <c r="D209" s="15">
        <v>307.4085255726667</v>
      </c>
      <c r="E209" s="15">
        <v>247.71271399066669</v>
      </c>
      <c r="F209" s="15">
        <v>59.695811582000005</v>
      </c>
    </row>
    <row r="210" spans="1:6" ht="11.25">
      <c r="A210" s="4">
        <f t="shared" si="3"/>
        <v>208</v>
      </c>
      <c r="B210" s="4" t="s">
        <v>936</v>
      </c>
      <c r="C210" s="4">
        <v>7718134701</v>
      </c>
      <c r="D210" s="15">
        <v>60.37923925</v>
      </c>
      <c r="E210" s="15">
        <v>0.8322333333333334</v>
      </c>
      <c r="F210" s="15">
        <v>59.54700591666666</v>
      </c>
    </row>
    <row r="211" spans="1:6" ht="11.25">
      <c r="A211" s="4">
        <f t="shared" si="3"/>
        <v>209</v>
      </c>
      <c r="B211" s="4" t="s">
        <v>943</v>
      </c>
      <c r="C211" s="4">
        <v>7709378363</v>
      </c>
      <c r="D211" s="15">
        <v>59.4817344</v>
      </c>
      <c r="E211" s="15">
        <v>0</v>
      </c>
      <c r="F211" s="15">
        <v>59.4817344</v>
      </c>
    </row>
    <row r="212" spans="1:6" ht="11.25">
      <c r="A212" s="4">
        <f t="shared" si="3"/>
        <v>210</v>
      </c>
      <c r="B212" s="4" t="s">
        <v>938</v>
      </c>
      <c r="C212" s="4">
        <v>7701250393</v>
      </c>
      <c r="D212" s="15">
        <v>60.207715842666666</v>
      </c>
      <c r="E212" s="15">
        <v>0.779432923</v>
      </c>
      <c r="F212" s="15">
        <v>59.428282919666664</v>
      </c>
    </row>
    <row r="213" spans="1:6" ht="11.25">
      <c r="A213" s="4">
        <f t="shared" si="3"/>
        <v>211</v>
      </c>
      <c r="B213" s="4" t="s">
        <v>923</v>
      </c>
      <c r="C213" s="4">
        <v>7714313114</v>
      </c>
      <c r="D213" s="15">
        <v>61.90943517166667</v>
      </c>
      <c r="E213" s="15">
        <v>2.6577268073333333</v>
      </c>
      <c r="F213" s="15">
        <v>59.25170836433334</v>
      </c>
    </row>
    <row r="214" spans="1:6" ht="11.25">
      <c r="A214" s="4">
        <f t="shared" si="3"/>
        <v>212</v>
      </c>
      <c r="B214" s="4" t="s">
        <v>858</v>
      </c>
      <c r="C214" s="4">
        <v>7715303535</v>
      </c>
      <c r="D214" s="15">
        <v>72.076821237</v>
      </c>
      <c r="E214" s="15">
        <v>13.047705593333333</v>
      </c>
      <c r="F214" s="15">
        <v>59.02911564366667</v>
      </c>
    </row>
    <row r="215" spans="1:6" ht="11.25">
      <c r="A215" s="4">
        <f t="shared" si="3"/>
        <v>213</v>
      </c>
      <c r="B215" s="4" t="s">
        <v>871</v>
      </c>
      <c r="C215" s="4">
        <v>7703346245</v>
      </c>
      <c r="D215" s="15">
        <v>69.88556666666666</v>
      </c>
      <c r="E215" s="15">
        <v>10.983333333333333</v>
      </c>
      <c r="F215" s="15">
        <v>58.90223333333333</v>
      </c>
    </row>
    <row r="216" spans="1:6" ht="11.25">
      <c r="A216" s="4">
        <f t="shared" si="3"/>
        <v>214</v>
      </c>
      <c r="B216" s="4" t="s">
        <v>945</v>
      </c>
      <c r="C216" s="4">
        <v>7718212999</v>
      </c>
      <c r="D216" s="15">
        <v>59.22923787766666</v>
      </c>
      <c r="E216" s="15">
        <v>0.3843249856666667</v>
      </c>
      <c r="F216" s="15">
        <v>58.844912891999996</v>
      </c>
    </row>
    <row r="217" spans="1:6" ht="11.25">
      <c r="A217" s="4">
        <f t="shared" si="3"/>
        <v>215</v>
      </c>
      <c r="B217" s="4" t="s">
        <v>942</v>
      </c>
      <c r="C217" s="4">
        <v>4825022080</v>
      </c>
      <c r="D217" s="15">
        <v>59.87297839466667</v>
      </c>
      <c r="E217" s="15">
        <v>1.0962404566666666</v>
      </c>
      <c r="F217" s="15">
        <v>58.776737938000004</v>
      </c>
    </row>
    <row r="218" spans="1:6" ht="11.25">
      <c r="A218" s="4">
        <f t="shared" si="3"/>
        <v>216</v>
      </c>
      <c r="B218" s="4" t="s">
        <v>949</v>
      </c>
      <c r="C218" s="4">
        <v>7724254122</v>
      </c>
      <c r="D218" s="15">
        <v>58.958992075333335</v>
      </c>
      <c r="E218" s="15">
        <v>0.4273215356666667</v>
      </c>
      <c r="F218" s="15">
        <v>58.53167053966667</v>
      </c>
    </row>
    <row r="219" spans="1:6" ht="11.25">
      <c r="A219" s="4">
        <f t="shared" si="3"/>
        <v>217</v>
      </c>
      <c r="B219" s="4" t="s">
        <v>877</v>
      </c>
      <c r="C219" s="4">
        <v>7710425402</v>
      </c>
      <c r="D219" s="15">
        <v>69.20062078233333</v>
      </c>
      <c r="E219" s="15">
        <v>10.720091709666667</v>
      </c>
      <c r="F219" s="15">
        <v>58.48052907266666</v>
      </c>
    </row>
    <row r="220" spans="1:6" ht="11.25">
      <c r="A220" s="4">
        <f t="shared" si="3"/>
        <v>218</v>
      </c>
      <c r="B220" s="4" t="s">
        <v>955</v>
      </c>
      <c r="C220" s="4">
        <v>7724288428</v>
      </c>
      <c r="D220" s="15">
        <v>58.245810239</v>
      </c>
      <c r="E220" s="15">
        <v>0</v>
      </c>
      <c r="F220" s="15">
        <v>58.245810239</v>
      </c>
    </row>
    <row r="221" spans="1:6" ht="11.25">
      <c r="A221" s="4">
        <f t="shared" si="3"/>
        <v>219</v>
      </c>
      <c r="B221" s="4" t="s">
        <v>947</v>
      </c>
      <c r="C221" s="4">
        <v>7701302115</v>
      </c>
      <c r="D221" s="15">
        <v>59.26655306833333</v>
      </c>
      <c r="E221" s="15">
        <v>1.1328332666666667</v>
      </c>
      <c r="F221" s="15">
        <v>58.133719801666665</v>
      </c>
    </row>
    <row r="222" spans="1:6" ht="11.25">
      <c r="A222" s="4">
        <f t="shared" si="3"/>
        <v>220</v>
      </c>
      <c r="B222" s="4" t="s">
        <v>956</v>
      </c>
      <c r="C222" s="4">
        <v>7719214389</v>
      </c>
      <c r="D222" s="15">
        <v>58.06</v>
      </c>
      <c r="E222" s="15">
        <v>0</v>
      </c>
      <c r="F222" s="15">
        <v>58.06</v>
      </c>
    </row>
    <row r="223" spans="1:6" ht="11.25">
      <c r="A223" s="4">
        <f t="shared" si="3"/>
        <v>221</v>
      </c>
      <c r="B223" s="4" t="s">
        <v>957</v>
      </c>
      <c r="C223" s="4">
        <v>7729507472</v>
      </c>
      <c r="D223" s="15">
        <v>58.030674667999996</v>
      </c>
      <c r="E223" s="15">
        <v>0</v>
      </c>
      <c r="F223" s="15">
        <v>58.030674667999996</v>
      </c>
    </row>
    <row r="224" spans="1:6" ht="11.25">
      <c r="A224" s="4">
        <f t="shared" si="3"/>
        <v>222</v>
      </c>
      <c r="B224" s="4" t="s">
        <v>935</v>
      </c>
      <c r="C224" s="4">
        <v>7718202599</v>
      </c>
      <c r="D224" s="15">
        <v>60.534720926</v>
      </c>
      <c r="E224" s="15">
        <v>2.5658666666666665</v>
      </c>
      <c r="F224" s="15">
        <v>57.968854259333334</v>
      </c>
    </row>
    <row r="225" spans="1:6" ht="11.25">
      <c r="A225" s="4">
        <f t="shared" si="3"/>
        <v>223</v>
      </c>
      <c r="B225" s="4" t="s">
        <v>905</v>
      </c>
      <c r="C225" s="4">
        <v>7724260334</v>
      </c>
      <c r="D225" s="15">
        <v>64.86317525566668</v>
      </c>
      <c r="E225" s="15">
        <v>7.2110662229999996</v>
      </c>
      <c r="F225" s="15">
        <v>57.65210903266667</v>
      </c>
    </row>
    <row r="226" spans="1:6" ht="11.25">
      <c r="A226" s="4">
        <f t="shared" si="3"/>
        <v>224</v>
      </c>
      <c r="B226" s="4" t="s">
        <v>919</v>
      </c>
      <c r="C226" s="4">
        <v>7728257861</v>
      </c>
      <c r="D226" s="15">
        <v>62.49624807033333</v>
      </c>
      <c r="E226" s="15">
        <v>4.908666666666667</v>
      </c>
      <c r="F226" s="15">
        <v>57.58758140366666</v>
      </c>
    </row>
    <row r="227" spans="1:6" ht="11.25">
      <c r="A227" s="4">
        <f t="shared" si="3"/>
        <v>225</v>
      </c>
      <c r="B227" s="4" t="s">
        <v>934</v>
      </c>
      <c r="C227" s="4">
        <v>7703282640</v>
      </c>
      <c r="D227" s="15">
        <v>60.6629398</v>
      </c>
      <c r="E227" s="15">
        <v>3.2598872930000002</v>
      </c>
      <c r="F227" s="15">
        <v>57.403052507</v>
      </c>
    </row>
    <row r="228" spans="1:6" ht="11.25">
      <c r="A228" s="4">
        <f t="shared" si="3"/>
        <v>226</v>
      </c>
      <c r="B228" s="4" t="s">
        <v>959</v>
      </c>
      <c r="C228" s="4">
        <v>7714230958</v>
      </c>
      <c r="D228" s="15">
        <v>57.88464802966667</v>
      </c>
      <c r="E228" s="15">
        <v>0.6029536023333334</v>
      </c>
      <c r="F228" s="15">
        <v>57.281694427333335</v>
      </c>
    </row>
    <row r="229" spans="1:6" ht="11.25">
      <c r="A229" s="4">
        <f t="shared" si="3"/>
        <v>227</v>
      </c>
      <c r="B229" s="4" t="s">
        <v>963</v>
      </c>
      <c r="C229" s="4">
        <v>7729426640</v>
      </c>
      <c r="D229" s="15">
        <v>57.21781609333333</v>
      </c>
      <c r="E229" s="15">
        <v>0</v>
      </c>
      <c r="F229" s="15">
        <v>57.21781609333333</v>
      </c>
    </row>
    <row r="230" spans="1:6" ht="22.5">
      <c r="A230" s="4">
        <f t="shared" si="3"/>
        <v>228</v>
      </c>
      <c r="B230" s="4" t="s">
        <v>882</v>
      </c>
      <c r="C230" s="4">
        <v>7708129854</v>
      </c>
      <c r="D230" s="15">
        <v>68.58333066666667</v>
      </c>
      <c r="E230" s="15">
        <v>11.423311551</v>
      </c>
      <c r="F230" s="15">
        <v>57.16001911566667</v>
      </c>
    </row>
    <row r="231" spans="1:6" ht="11.25">
      <c r="A231" s="4">
        <f t="shared" si="3"/>
        <v>229</v>
      </c>
      <c r="B231" s="4" t="s">
        <v>964</v>
      </c>
      <c r="C231" s="4">
        <v>7715245876</v>
      </c>
      <c r="D231" s="15">
        <v>56.98780260266666</v>
      </c>
      <c r="E231" s="15">
        <v>0</v>
      </c>
      <c r="F231" s="15">
        <v>56.98780260266666</v>
      </c>
    </row>
    <row r="232" spans="1:6" ht="11.25">
      <c r="A232" s="4">
        <f t="shared" si="3"/>
        <v>230</v>
      </c>
      <c r="B232" s="4" t="s">
        <v>803</v>
      </c>
      <c r="C232" s="4">
        <v>7703328221</v>
      </c>
      <c r="D232" s="15">
        <v>96.03975411833333</v>
      </c>
      <c r="E232" s="15">
        <v>39.056880494999994</v>
      </c>
      <c r="F232" s="15">
        <v>56.98287362333334</v>
      </c>
    </row>
    <row r="233" spans="1:6" ht="11.25">
      <c r="A233" s="4">
        <f t="shared" si="3"/>
        <v>231</v>
      </c>
      <c r="B233" s="4" t="s">
        <v>870</v>
      </c>
      <c r="C233" s="4">
        <v>7715337171</v>
      </c>
      <c r="D233" s="15">
        <v>70.29124244066666</v>
      </c>
      <c r="E233" s="15">
        <v>13.425639428333334</v>
      </c>
      <c r="F233" s="15">
        <v>56.86560301233333</v>
      </c>
    </row>
    <row r="234" spans="1:6" ht="11.25">
      <c r="A234" s="4">
        <f t="shared" si="3"/>
        <v>232</v>
      </c>
      <c r="B234" s="4" t="s">
        <v>944</v>
      </c>
      <c r="C234" s="4">
        <v>7715293904</v>
      </c>
      <c r="D234" s="15">
        <v>58.696157404</v>
      </c>
      <c r="E234" s="15">
        <v>2.021073521</v>
      </c>
      <c r="F234" s="15">
        <v>56.675083883</v>
      </c>
    </row>
    <row r="235" spans="1:6" ht="11.25">
      <c r="A235" s="4">
        <f t="shared" si="3"/>
        <v>233</v>
      </c>
      <c r="B235" s="4" t="s">
        <v>1003</v>
      </c>
      <c r="C235" s="4">
        <v>5607015381</v>
      </c>
      <c r="D235" s="15">
        <v>57.30097160666667</v>
      </c>
      <c r="E235" s="15">
        <v>0.6398956880000001</v>
      </c>
      <c r="F235" s="15">
        <v>56.66107591866667</v>
      </c>
    </row>
    <row r="236" spans="1:6" ht="11.25">
      <c r="A236" s="4">
        <f t="shared" si="3"/>
        <v>234</v>
      </c>
      <c r="B236" s="4" t="s">
        <v>908</v>
      </c>
      <c r="C236" s="4">
        <v>7727175052</v>
      </c>
      <c r="D236" s="15">
        <v>61.861386806666665</v>
      </c>
      <c r="E236" s="15">
        <v>5.292401837999999</v>
      </c>
      <c r="F236" s="15">
        <v>56.56898496866667</v>
      </c>
    </row>
    <row r="237" spans="1:6" ht="11.25">
      <c r="A237" s="4">
        <f t="shared" si="3"/>
        <v>235</v>
      </c>
      <c r="B237" s="4" t="s">
        <v>901</v>
      </c>
      <c r="C237" s="4">
        <v>7710468621</v>
      </c>
      <c r="D237" s="15">
        <v>63.04899933</v>
      </c>
      <c r="E237" s="15">
        <v>6.577951665666666</v>
      </c>
      <c r="F237" s="15">
        <v>56.471047664333334</v>
      </c>
    </row>
    <row r="238" spans="1:6" ht="11.25">
      <c r="A238" s="4">
        <f t="shared" si="3"/>
        <v>236</v>
      </c>
      <c r="B238" s="4" t="s">
        <v>925</v>
      </c>
      <c r="C238" s="4">
        <v>7725113082</v>
      </c>
      <c r="D238" s="15">
        <v>61.175499243333334</v>
      </c>
      <c r="E238" s="15">
        <v>4.772164920333334</v>
      </c>
      <c r="F238" s="15">
        <v>56.403334323</v>
      </c>
    </row>
    <row r="239" spans="1:6" ht="11.25">
      <c r="A239" s="4">
        <f t="shared" si="3"/>
        <v>237</v>
      </c>
      <c r="B239" s="4" t="s">
        <v>984</v>
      </c>
      <c r="C239" s="4">
        <v>7706539372</v>
      </c>
      <c r="D239" s="15">
        <v>56.08603356133333</v>
      </c>
      <c r="E239" s="15">
        <v>0</v>
      </c>
      <c r="F239" s="15">
        <v>56.08603356133333</v>
      </c>
    </row>
    <row r="240" spans="1:6" ht="11.25">
      <c r="A240" s="4">
        <f t="shared" si="3"/>
        <v>238</v>
      </c>
      <c r="B240" s="4" t="s">
        <v>989</v>
      </c>
      <c r="C240" s="4">
        <v>7729265128</v>
      </c>
      <c r="D240" s="15">
        <v>55.74996300066667</v>
      </c>
      <c r="E240" s="15">
        <v>0.005707739000000001</v>
      </c>
      <c r="F240" s="15">
        <v>55.744255261666666</v>
      </c>
    </row>
    <row r="241" spans="1:6" ht="11.25">
      <c r="A241" s="4">
        <f t="shared" si="3"/>
        <v>239</v>
      </c>
      <c r="B241" s="4" t="s">
        <v>987</v>
      </c>
      <c r="C241" s="4">
        <v>7728260840</v>
      </c>
      <c r="D241" s="15">
        <v>55.962926743333334</v>
      </c>
      <c r="E241" s="15">
        <v>0.6030435616666667</v>
      </c>
      <c r="F241" s="15">
        <v>55.35988318166667</v>
      </c>
    </row>
    <row r="242" spans="1:6" ht="11.25">
      <c r="A242" s="4">
        <f t="shared" si="3"/>
        <v>240</v>
      </c>
      <c r="B242" s="4" t="s">
        <v>954</v>
      </c>
      <c r="C242" s="4">
        <v>7725222797</v>
      </c>
      <c r="D242" s="15">
        <v>59.426488599</v>
      </c>
      <c r="E242" s="15">
        <v>4.115445689333334</v>
      </c>
      <c r="F242" s="15">
        <v>55.31104290966667</v>
      </c>
    </row>
    <row r="243" spans="1:6" ht="11.25">
      <c r="A243" s="4">
        <f t="shared" si="3"/>
        <v>241</v>
      </c>
      <c r="B243" s="4" t="s">
        <v>910</v>
      </c>
      <c r="C243" s="4">
        <v>7728133626</v>
      </c>
      <c r="D243" s="15">
        <v>63.832146781</v>
      </c>
      <c r="E243" s="15">
        <v>8.726944935</v>
      </c>
      <c r="F243" s="15">
        <v>55.105201846</v>
      </c>
    </row>
    <row r="244" spans="1:6" ht="11.25">
      <c r="A244" s="4">
        <f t="shared" si="3"/>
        <v>242</v>
      </c>
      <c r="B244" s="4" t="s">
        <v>907</v>
      </c>
      <c r="C244" s="4">
        <v>7702352133</v>
      </c>
      <c r="D244" s="15">
        <v>63.975971924</v>
      </c>
      <c r="E244" s="15">
        <v>9.029179875999999</v>
      </c>
      <c r="F244" s="15">
        <v>54.946792048</v>
      </c>
    </row>
    <row r="245" spans="1:6" ht="11.25">
      <c r="A245" s="4">
        <f t="shared" si="3"/>
        <v>243</v>
      </c>
      <c r="B245" s="4" t="s">
        <v>997</v>
      </c>
      <c r="C245" s="4">
        <v>7705333668</v>
      </c>
      <c r="D245" s="15">
        <v>54.51638671033333</v>
      </c>
      <c r="E245" s="15">
        <v>0</v>
      </c>
      <c r="F245" s="15">
        <v>54.51638671033333</v>
      </c>
    </row>
    <row r="246" spans="1:6" ht="11.25">
      <c r="A246" s="4">
        <f t="shared" si="3"/>
        <v>244</v>
      </c>
      <c r="B246" s="4" t="s">
        <v>995</v>
      </c>
      <c r="C246" s="4">
        <v>7727241957</v>
      </c>
      <c r="D246" s="15">
        <v>55.116405316666665</v>
      </c>
      <c r="E246" s="15">
        <v>0.6670366666666667</v>
      </c>
      <c r="F246" s="15">
        <v>54.44936865</v>
      </c>
    </row>
    <row r="247" spans="1:6" ht="11.25">
      <c r="A247" s="4">
        <f t="shared" si="3"/>
        <v>245</v>
      </c>
      <c r="B247" s="4" t="s">
        <v>853</v>
      </c>
      <c r="C247" s="4">
        <v>7703338075</v>
      </c>
      <c r="D247" s="15">
        <v>72.990572251</v>
      </c>
      <c r="E247" s="15">
        <v>18.629764841666667</v>
      </c>
      <c r="F247" s="15">
        <v>54.36080740933333</v>
      </c>
    </row>
    <row r="248" spans="1:6" ht="57">
      <c r="A248" s="4">
        <f t="shared" si="3"/>
        <v>246</v>
      </c>
      <c r="B248" s="4" t="s">
        <v>981</v>
      </c>
      <c r="C248" s="4">
        <v>266008329</v>
      </c>
      <c r="D248" s="15">
        <v>56.58074002</v>
      </c>
      <c r="E248" s="15">
        <v>2.3089754533333333</v>
      </c>
      <c r="F248" s="15">
        <v>54.27176456666667</v>
      </c>
    </row>
    <row r="249" spans="1:6" ht="11.25">
      <c r="A249" s="4">
        <f t="shared" si="3"/>
        <v>247</v>
      </c>
      <c r="B249" s="4" t="s">
        <v>990</v>
      </c>
      <c r="C249" s="4">
        <v>7709430158</v>
      </c>
      <c r="D249" s="15">
        <v>55.521722178999994</v>
      </c>
      <c r="E249" s="15">
        <v>1.4845316803333333</v>
      </c>
      <c r="F249" s="15">
        <v>54.03719049866666</v>
      </c>
    </row>
    <row r="250" spans="1:6" ht="11.25">
      <c r="A250" s="4">
        <f t="shared" si="3"/>
        <v>248</v>
      </c>
      <c r="B250" s="4" t="s">
        <v>906</v>
      </c>
      <c r="C250" s="4">
        <v>7716224332</v>
      </c>
      <c r="D250" s="15">
        <v>63.846189974</v>
      </c>
      <c r="E250" s="15">
        <v>9.848959189</v>
      </c>
      <c r="F250" s="15">
        <v>53.997230785</v>
      </c>
    </row>
    <row r="251" spans="1:6" ht="11.25">
      <c r="A251" s="4">
        <f t="shared" si="3"/>
        <v>249</v>
      </c>
      <c r="B251" s="4" t="s">
        <v>948</v>
      </c>
      <c r="C251" s="4">
        <v>7721504783</v>
      </c>
      <c r="D251" s="15">
        <v>55.043476</v>
      </c>
      <c r="E251" s="15">
        <v>1.1060766666666666</v>
      </c>
      <c r="F251" s="15">
        <v>53.93739933333333</v>
      </c>
    </row>
    <row r="252" spans="1:6" ht="11.25">
      <c r="A252" s="4">
        <f t="shared" si="3"/>
        <v>250</v>
      </c>
      <c r="B252" s="4" t="s">
        <v>950</v>
      </c>
      <c r="C252" s="4">
        <v>7708221666</v>
      </c>
      <c r="D252" s="15">
        <v>58.958777896</v>
      </c>
      <c r="E252" s="15">
        <v>5.070929057</v>
      </c>
      <c r="F252" s="15">
        <v>53.887848839</v>
      </c>
    </row>
    <row r="253" spans="1:6" ht="11.25">
      <c r="A253" s="4">
        <f t="shared" si="3"/>
        <v>251</v>
      </c>
      <c r="B253" s="4" t="s">
        <v>946</v>
      </c>
      <c r="C253" s="4">
        <v>7722241590</v>
      </c>
      <c r="D253" s="15">
        <v>55.709485685</v>
      </c>
      <c r="E253" s="15">
        <v>1.8794618173333335</v>
      </c>
      <c r="F253" s="15">
        <v>53.83002386766666</v>
      </c>
    </row>
    <row r="254" spans="1:6" ht="11.25">
      <c r="A254" s="4">
        <f t="shared" si="3"/>
        <v>252</v>
      </c>
      <c r="B254" s="4" t="s">
        <v>952</v>
      </c>
      <c r="C254" s="4">
        <v>7733163087</v>
      </c>
      <c r="D254" s="15">
        <v>58.59945101233333</v>
      </c>
      <c r="E254" s="15">
        <v>4.82577306</v>
      </c>
      <c r="F254" s="15">
        <v>53.77367795233333</v>
      </c>
    </row>
    <row r="255" spans="1:6" ht="11.25">
      <c r="A255" s="4">
        <f t="shared" si="3"/>
        <v>253</v>
      </c>
      <c r="B255" s="4" t="s">
        <v>896</v>
      </c>
      <c r="C255" s="4">
        <v>7728502665</v>
      </c>
      <c r="D255" s="15">
        <v>55.088731577666664</v>
      </c>
      <c r="E255" s="15">
        <v>1.3272208666666667</v>
      </c>
      <c r="F255" s="15">
        <v>53.761510711</v>
      </c>
    </row>
    <row r="256" spans="1:6" ht="11.25">
      <c r="A256" s="4">
        <f t="shared" si="3"/>
        <v>254</v>
      </c>
      <c r="B256" s="4" t="s">
        <v>916</v>
      </c>
      <c r="C256" s="4">
        <v>8001008007</v>
      </c>
      <c r="D256" s="15">
        <v>62.8071505</v>
      </c>
      <c r="E256" s="15">
        <v>9.316900333333333</v>
      </c>
      <c r="F256" s="15">
        <v>53.49025016666667</v>
      </c>
    </row>
    <row r="257" spans="1:6" ht="11.25">
      <c r="A257" s="4">
        <f t="shared" si="3"/>
        <v>255</v>
      </c>
      <c r="B257" s="4" t="s">
        <v>953</v>
      </c>
      <c r="C257" s="4">
        <v>7705580561</v>
      </c>
      <c r="D257" s="15">
        <v>53.971937309333335</v>
      </c>
      <c r="E257" s="15">
        <v>0.6839606723333334</v>
      </c>
      <c r="F257" s="15">
        <v>53.287976637</v>
      </c>
    </row>
    <row r="258" spans="1:6" ht="11.25">
      <c r="A258" s="4">
        <f t="shared" si="3"/>
        <v>256</v>
      </c>
      <c r="B258" s="4" t="s">
        <v>958</v>
      </c>
      <c r="C258" s="4">
        <v>7709521599</v>
      </c>
      <c r="D258" s="15">
        <v>57.182473945</v>
      </c>
      <c r="E258" s="15">
        <v>3.9369818223333333</v>
      </c>
      <c r="F258" s="15">
        <v>53.24549212266666</v>
      </c>
    </row>
    <row r="259" spans="1:6" ht="22.5">
      <c r="A259" s="4">
        <f t="shared" si="3"/>
        <v>257</v>
      </c>
      <c r="B259" s="4" t="s">
        <v>867</v>
      </c>
      <c r="C259" s="4">
        <v>7716502195</v>
      </c>
      <c r="D259" s="15">
        <v>70.480374593</v>
      </c>
      <c r="E259" s="15">
        <v>17.292778938666668</v>
      </c>
      <c r="F259" s="15">
        <v>53.18759565433332</v>
      </c>
    </row>
    <row r="260" spans="1:6" ht="11.25">
      <c r="A260" s="4">
        <f aca="true" t="shared" si="4" ref="A260:A323">1+A259</f>
        <v>258</v>
      </c>
      <c r="B260" s="4" t="s">
        <v>924</v>
      </c>
      <c r="C260" s="4">
        <v>5018078279</v>
      </c>
      <c r="D260" s="15">
        <v>52.925387410666666</v>
      </c>
      <c r="E260" s="15">
        <v>0</v>
      </c>
      <c r="F260" s="15">
        <v>52.925387410666666</v>
      </c>
    </row>
    <row r="261" spans="1:6" ht="11.25">
      <c r="A261" s="4">
        <f t="shared" si="4"/>
        <v>259</v>
      </c>
      <c r="B261" s="4" t="s">
        <v>1013</v>
      </c>
      <c r="C261" s="4">
        <v>7417001747</v>
      </c>
      <c r="D261" s="15">
        <v>52.67900897266667</v>
      </c>
      <c r="E261" s="15">
        <v>0.000526761</v>
      </c>
      <c r="F261" s="15">
        <v>52.67848221166667</v>
      </c>
    </row>
    <row r="262" spans="1:6" ht="11.25">
      <c r="A262" s="4">
        <f t="shared" si="4"/>
        <v>260</v>
      </c>
      <c r="B262" s="4" t="s">
        <v>1007</v>
      </c>
      <c r="C262" s="4">
        <v>7710330341</v>
      </c>
      <c r="D262" s="15">
        <v>53.532867286666665</v>
      </c>
      <c r="E262" s="15">
        <v>0.8957919953333333</v>
      </c>
      <c r="F262" s="15">
        <v>52.63707529133333</v>
      </c>
    </row>
    <row r="263" spans="1:6" ht="11.25">
      <c r="A263" s="4">
        <f t="shared" si="4"/>
        <v>261</v>
      </c>
      <c r="B263" s="4" t="s">
        <v>1016</v>
      </c>
      <c r="C263" s="4">
        <v>7708230371</v>
      </c>
      <c r="D263" s="15">
        <v>52.61770477233333</v>
      </c>
      <c r="E263" s="15">
        <v>0</v>
      </c>
      <c r="F263" s="15">
        <v>52.61770477233333</v>
      </c>
    </row>
    <row r="264" spans="1:6" ht="11.25">
      <c r="A264" s="4">
        <f t="shared" si="4"/>
        <v>262</v>
      </c>
      <c r="B264" s="4" t="s">
        <v>1010</v>
      </c>
      <c r="C264" s="4">
        <v>7710391834</v>
      </c>
      <c r="D264" s="15">
        <v>53.079955152</v>
      </c>
      <c r="E264" s="15">
        <v>0.6512688510000001</v>
      </c>
      <c r="F264" s="15">
        <v>52.428686301</v>
      </c>
    </row>
    <row r="265" spans="1:6" ht="11.25">
      <c r="A265" s="4">
        <f t="shared" si="4"/>
        <v>263</v>
      </c>
      <c r="B265" s="4" t="s">
        <v>991</v>
      </c>
      <c r="C265" s="4">
        <v>7703209721</v>
      </c>
      <c r="D265" s="15">
        <v>56.103047278999995</v>
      </c>
      <c r="E265" s="15">
        <v>3.790703584</v>
      </c>
      <c r="F265" s="15">
        <v>52.312343694999996</v>
      </c>
    </row>
    <row r="266" spans="1:6" ht="11.25">
      <c r="A266" s="4">
        <f t="shared" si="4"/>
        <v>264</v>
      </c>
      <c r="B266" s="4" t="s">
        <v>1020</v>
      </c>
      <c r="C266" s="4">
        <v>7709420128</v>
      </c>
      <c r="D266" s="15">
        <v>53.147029466666666</v>
      </c>
      <c r="E266" s="15">
        <v>0.9833333333333333</v>
      </c>
      <c r="F266" s="15">
        <v>52.16369613333333</v>
      </c>
    </row>
    <row r="267" spans="1:6" ht="11.25">
      <c r="A267" s="4">
        <f t="shared" si="4"/>
        <v>265</v>
      </c>
      <c r="B267" s="4" t="s">
        <v>965</v>
      </c>
      <c r="C267" s="4">
        <v>7727222143</v>
      </c>
      <c r="D267" s="15">
        <v>56.84142949433333</v>
      </c>
      <c r="E267" s="15">
        <v>4.814069237999999</v>
      </c>
      <c r="F267" s="15">
        <v>52.02736025633333</v>
      </c>
    </row>
    <row r="268" spans="1:6" ht="11.25">
      <c r="A268" s="4">
        <f t="shared" si="4"/>
        <v>266</v>
      </c>
      <c r="B268" s="4" t="s">
        <v>983</v>
      </c>
      <c r="C268" s="4">
        <v>7703352383</v>
      </c>
      <c r="D268" s="15">
        <v>53.82710310933333</v>
      </c>
      <c r="E268" s="15">
        <v>2.0961040326666667</v>
      </c>
      <c r="F268" s="15">
        <v>51.73099907666666</v>
      </c>
    </row>
    <row r="269" spans="1:6" ht="11.25">
      <c r="A269" s="4">
        <f t="shared" si="4"/>
        <v>267</v>
      </c>
      <c r="B269" s="4" t="s">
        <v>891</v>
      </c>
      <c r="C269" s="4">
        <v>7705565884</v>
      </c>
      <c r="D269" s="15">
        <v>65.89730329133333</v>
      </c>
      <c r="E269" s="15">
        <v>14.239651992666666</v>
      </c>
      <c r="F269" s="15">
        <v>51.657651298666664</v>
      </c>
    </row>
    <row r="270" spans="1:6" ht="11.25">
      <c r="A270" s="4">
        <f t="shared" si="4"/>
        <v>268</v>
      </c>
      <c r="B270" s="4" t="s">
        <v>913</v>
      </c>
      <c r="C270" s="4">
        <v>7743508630</v>
      </c>
      <c r="D270" s="15">
        <v>63.192306185999996</v>
      </c>
      <c r="E270" s="15">
        <v>11.719089652000001</v>
      </c>
      <c r="F270" s="15">
        <v>51.473216533999995</v>
      </c>
    </row>
    <row r="271" spans="1:6" ht="11.25">
      <c r="A271" s="4">
        <f t="shared" si="4"/>
        <v>269</v>
      </c>
      <c r="B271" s="4" t="s">
        <v>1021</v>
      </c>
      <c r="C271" s="4">
        <v>7718223214</v>
      </c>
      <c r="D271" s="15">
        <v>51.666346366666666</v>
      </c>
      <c r="E271" s="15">
        <v>0.3333333333333333</v>
      </c>
      <c r="F271" s="15">
        <v>51.33301303333333</v>
      </c>
    </row>
    <row r="272" spans="1:6" ht="34.5">
      <c r="A272" s="4">
        <f t="shared" si="4"/>
        <v>270</v>
      </c>
      <c r="B272" s="4" t="s">
        <v>1026</v>
      </c>
      <c r="C272" s="4">
        <v>5018078631</v>
      </c>
      <c r="D272" s="15">
        <v>51.29878024733333</v>
      </c>
      <c r="E272" s="15">
        <v>0</v>
      </c>
      <c r="F272" s="15">
        <v>51.29878024733333</v>
      </c>
    </row>
    <row r="273" spans="1:6" ht="11.25">
      <c r="A273" s="4">
        <f t="shared" si="4"/>
        <v>271</v>
      </c>
      <c r="B273" s="4" t="s">
        <v>1201</v>
      </c>
      <c r="C273" s="4">
        <v>7719030663</v>
      </c>
      <c r="D273" s="15">
        <v>51.567833751</v>
      </c>
      <c r="E273" s="15">
        <v>0.289438445</v>
      </c>
      <c r="F273" s="15">
        <v>51.278395306</v>
      </c>
    </row>
    <row r="274" spans="1:6" ht="11.25">
      <c r="A274" s="4">
        <f t="shared" si="4"/>
        <v>272</v>
      </c>
      <c r="B274" s="4" t="s">
        <v>1027</v>
      </c>
      <c r="C274" s="4">
        <v>7706294122</v>
      </c>
      <c r="D274" s="15">
        <v>51.088666603</v>
      </c>
      <c r="E274" s="15">
        <v>0.16383716666666667</v>
      </c>
      <c r="F274" s="15">
        <v>50.92482943633333</v>
      </c>
    </row>
    <row r="275" spans="1:6" ht="11.25">
      <c r="A275" s="4">
        <f t="shared" si="4"/>
        <v>273</v>
      </c>
      <c r="B275" s="4" t="s">
        <v>1019</v>
      </c>
      <c r="C275" s="4">
        <v>5020037784</v>
      </c>
      <c r="D275" s="15">
        <v>51.87132166266667</v>
      </c>
      <c r="E275" s="15">
        <v>1.021989365</v>
      </c>
      <c r="F275" s="15">
        <v>50.84933229766667</v>
      </c>
    </row>
    <row r="276" spans="1:6" ht="11.25">
      <c r="A276" s="4">
        <f t="shared" si="4"/>
        <v>274</v>
      </c>
      <c r="B276" s="4" t="s">
        <v>985</v>
      </c>
      <c r="C276" s="4">
        <v>7723338845</v>
      </c>
      <c r="D276" s="15">
        <v>54.54896834266667</v>
      </c>
      <c r="E276" s="15">
        <v>3.7581579586666667</v>
      </c>
      <c r="F276" s="15">
        <v>50.790810384000004</v>
      </c>
    </row>
    <row r="277" spans="1:6" ht="22.5">
      <c r="A277" s="4">
        <f t="shared" si="4"/>
        <v>275</v>
      </c>
      <c r="B277" s="4" t="s">
        <v>848</v>
      </c>
      <c r="C277" s="4">
        <v>7702000406</v>
      </c>
      <c r="D277" s="15">
        <v>76.66861483066667</v>
      </c>
      <c r="E277" s="15">
        <v>25.891248614</v>
      </c>
      <c r="F277" s="15">
        <v>50.77736621666667</v>
      </c>
    </row>
    <row r="278" spans="1:6" ht="11.25">
      <c r="A278" s="4">
        <f t="shared" si="4"/>
        <v>276</v>
      </c>
      <c r="B278" s="4" t="s">
        <v>1008</v>
      </c>
      <c r="C278" s="4">
        <v>7612025830</v>
      </c>
      <c r="D278" s="15">
        <v>50.56660275633334</v>
      </c>
      <c r="E278" s="15">
        <v>0</v>
      </c>
      <c r="F278" s="15">
        <v>50.56660275633334</v>
      </c>
    </row>
    <row r="279" spans="1:6" ht="11.25">
      <c r="A279" s="4">
        <f t="shared" si="4"/>
        <v>277</v>
      </c>
      <c r="B279" s="4" t="s">
        <v>992</v>
      </c>
      <c r="C279" s="4">
        <v>7725236126</v>
      </c>
      <c r="D279" s="15">
        <v>55.104454114</v>
      </c>
      <c r="E279" s="15">
        <v>4.639154092333333</v>
      </c>
      <c r="F279" s="15">
        <v>50.465300021666664</v>
      </c>
    </row>
    <row r="280" spans="1:6" ht="11.25">
      <c r="A280" s="4">
        <f t="shared" si="4"/>
        <v>278</v>
      </c>
      <c r="B280" s="4" t="s">
        <v>996</v>
      </c>
      <c r="C280" s="4">
        <v>7718250105</v>
      </c>
      <c r="D280" s="15">
        <v>51.82952965533334</v>
      </c>
      <c r="E280" s="15">
        <v>1.4198064573333333</v>
      </c>
      <c r="F280" s="15">
        <v>50.40972319800001</v>
      </c>
    </row>
    <row r="281" spans="1:6" ht="11.25">
      <c r="A281" s="4">
        <f t="shared" si="4"/>
        <v>279</v>
      </c>
      <c r="B281" s="4" t="s">
        <v>1004</v>
      </c>
      <c r="C281" s="4">
        <v>7705450812</v>
      </c>
      <c r="D281" s="15">
        <v>54.007450243</v>
      </c>
      <c r="E281" s="15">
        <v>3.675292181</v>
      </c>
      <c r="F281" s="15">
        <v>50.332158062</v>
      </c>
    </row>
    <row r="282" spans="1:6" ht="11.25">
      <c r="A282" s="4">
        <f t="shared" si="4"/>
        <v>280</v>
      </c>
      <c r="B282" s="4" t="s">
        <v>993</v>
      </c>
      <c r="C282" s="4">
        <v>7816214352</v>
      </c>
      <c r="D282" s="15">
        <v>55.06325444866667</v>
      </c>
      <c r="E282" s="15">
        <v>4.735606732</v>
      </c>
      <c r="F282" s="15">
        <v>50.32764771666667</v>
      </c>
    </row>
    <row r="283" spans="1:6" ht="11.25">
      <c r="A283" s="4">
        <f t="shared" si="4"/>
        <v>281</v>
      </c>
      <c r="B283" s="4" t="s">
        <v>1071</v>
      </c>
      <c r="C283" s="4">
        <v>7422034353</v>
      </c>
      <c r="D283" s="15">
        <v>49.73576</v>
      </c>
      <c r="E283" s="15">
        <v>0</v>
      </c>
      <c r="F283" s="15">
        <v>49.73576</v>
      </c>
    </row>
    <row r="284" spans="1:6" ht="11.25">
      <c r="A284" s="4">
        <f t="shared" si="4"/>
        <v>282</v>
      </c>
      <c r="B284" s="4" t="s">
        <v>1006</v>
      </c>
      <c r="C284" s="4">
        <v>7422030976</v>
      </c>
      <c r="D284" s="15">
        <v>53.83676083333334</v>
      </c>
      <c r="E284" s="15">
        <v>4.105276148</v>
      </c>
      <c r="F284" s="15">
        <v>49.731484685333335</v>
      </c>
    </row>
    <row r="285" spans="1:6" ht="11.25">
      <c r="A285" s="4">
        <f t="shared" si="4"/>
        <v>283</v>
      </c>
      <c r="B285" s="4" t="s">
        <v>1031</v>
      </c>
      <c r="C285" s="4">
        <v>7734254795</v>
      </c>
      <c r="D285" s="15">
        <v>49.90862204533333</v>
      </c>
      <c r="E285" s="15">
        <v>0.20794084333333332</v>
      </c>
      <c r="F285" s="15">
        <v>49.700681202</v>
      </c>
    </row>
    <row r="286" spans="1:6" ht="11.25">
      <c r="A286" s="4">
        <f t="shared" si="4"/>
        <v>284</v>
      </c>
      <c r="B286" s="4" t="s">
        <v>1038</v>
      </c>
      <c r="C286" s="4">
        <v>7722285453</v>
      </c>
      <c r="D286" s="15">
        <v>49.51249806766666</v>
      </c>
      <c r="E286" s="15">
        <v>0.0183056</v>
      </c>
      <c r="F286" s="15">
        <v>49.494192467666664</v>
      </c>
    </row>
    <row r="287" spans="1:6" ht="11.25">
      <c r="A287" s="4">
        <f t="shared" si="4"/>
        <v>285</v>
      </c>
      <c r="B287" s="4" t="s">
        <v>1040</v>
      </c>
      <c r="C287" s="4">
        <v>7727256978</v>
      </c>
      <c r="D287" s="15">
        <v>49.289182530000005</v>
      </c>
      <c r="E287" s="15">
        <v>0</v>
      </c>
      <c r="F287" s="15">
        <v>49.289182530000005</v>
      </c>
    </row>
    <row r="288" spans="1:6" ht="11.25">
      <c r="A288" s="4">
        <f t="shared" si="4"/>
        <v>286</v>
      </c>
      <c r="B288" s="4" t="s">
        <v>900</v>
      </c>
      <c r="C288" s="4">
        <v>7710273647</v>
      </c>
      <c r="D288" s="15">
        <v>64.728162326</v>
      </c>
      <c r="E288" s="15">
        <v>15.524296659666668</v>
      </c>
      <c r="F288" s="15">
        <v>49.203865666333336</v>
      </c>
    </row>
    <row r="289" spans="1:6" ht="11.25">
      <c r="A289" s="4">
        <f t="shared" si="4"/>
        <v>287</v>
      </c>
      <c r="B289" s="4" t="s">
        <v>911</v>
      </c>
      <c r="C289" s="4">
        <v>7722270680</v>
      </c>
      <c r="D289" s="15">
        <v>52.224359178</v>
      </c>
      <c r="E289" s="15">
        <v>3.045808555333333</v>
      </c>
      <c r="F289" s="15">
        <v>49.17855062266667</v>
      </c>
    </row>
    <row r="290" spans="1:6" ht="22.5">
      <c r="A290" s="4">
        <f t="shared" si="4"/>
        <v>288</v>
      </c>
      <c r="B290" s="4" t="s">
        <v>1042</v>
      </c>
      <c r="C290" s="4">
        <v>7733091700</v>
      </c>
      <c r="D290" s="15">
        <v>49.09643120766667</v>
      </c>
      <c r="E290" s="15">
        <v>0</v>
      </c>
      <c r="F290" s="15">
        <v>49.09643120766667</v>
      </c>
    </row>
    <row r="291" spans="1:6" ht="11.25">
      <c r="A291" s="4">
        <f t="shared" si="4"/>
        <v>289</v>
      </c>
      <c r="B291" s="4" t="s">
        <v>731</v>
      </c>
      <c r="C291" s="4">
        <v>7733167290</v>
      </c>
      <c r="D291" s="15">
        <v>211.35020775</v>
      </c>
      <c r="E291" s="15">
        <v>162.25486666666666</v>
      </c>
      <c r="F291" s="15">
        <v>49.09534108333335</v>
      </c>
    </row>
    <row r="292" spans="1:6" ht="11.25">
      <c r="A292" s="4">
        <f t="shared" si="4"/>
        <v>290</v>
      </c>
      <c r="B292" s="4" t="s">
        <v>960</v>
      </c>
      <c r="C292" s="4">
        <v>7709374030</v>
      </c>
      <c r="D292" s="15">
        <v>57.688808329333334</v>
      </c>
      <c r="E292" s="15">
        <v>8.632390899666667</v>
      </c>
      <c r="F292" s="15">
        <v>49.056417429666666</v>
      </c>
    </row>
    <row r="293" spans="1:6" ht="11.25">
      <c r="A293" s="4">
        <f t="shared" si="4"/>
        <v>291</v>
      </c>
      <c r="B293" s="4" t="s">
        <v>1030</v>
      </c>
      <c r="C293" s="4">
        <v>7728225637</v>
      </c>
      <c r="D293" s="15">
        <v>49.856419800333335</v>
      </c>
      <c r="E293" s="15">
        <v>0.845314672</v>
      </c>
      <c r="F293" s="15">
        <v>49.011105128333334</v>
      </c>
    </row>
    <row r="294" spans="1:6" ht="11.25">
      <c r="A294" s="4">
        <f t="shared" si="4"/>
        <v>292</v>
      </c>
      <c r="B294" s="4" t="s">
        <v>1046</v>
      </c>
      <c r="C294" s="4">
        <v>7714313940</v>
      </c>
      <c r="D294" s="15">
        <v>48.8995</v>
      </c>
      <c r="E294" s="15">
        <v>0</v>
      </c>
      <c r="F294" s="15">
        <v>48.8995</v>
      </c>
    </row>
    <row r="295" spans="1:6" ht="11.25">
      <c r="A295" s="4">
        <f t="shared" si="4"/>
        <v>293</v>
      </c>
      <c r="B295" s="4" t="s">
        <v>933</v>
      </c>
      <c r="C295" s="4">
        <v>7727244901</v>
      </c>
      <c r="D295" s="15">
        <v>60.682612127</v>
      </c>
      <c r="E295" s="15">
        <v>11.933412431999999</v>
      </c>
      <c r="F295" s="15">
        <v>48.749199695</v>
      </c>
    </row>
    <row r="296" spans="1:6" ht="11.25">
      <c r="A296" s="4">
        <f t="shared" si="4"/>
        <v>294</v>
      </c>
      <c r="B296" s="4" t="s">
        <v>1035</v>
      </c>
      <c r="C296" s="4">
        <v>7710523618</v>
      </c>
      <c r="D296" s="15">
        <v>48.74390909066667</v>
      </c>
      <c r="E296" s="15">
        <v>0.05629</v>
      </c>
      <c r="F296" s="15">
        <v>48.68761909066667</v>
      </c>
    </row>
    <row r="297" spans="1:6" ht="11.25">
      <c r="A297" s="4">
        <f t="shared" si="4"/>
        <v>295</v>
      </c>
      <c r="B297" s="4" t="s">
        <v>1014</v>
      </c>
      <c r="C297" s="4">
        <v>7718174616</v>
      </c>
      <c r="D297" s="15">
        <v>52.802594529</v>
      </c>
      <c r="E297" s="15">
        <v>4.344124027</v>
      </c>
      <c r="F297" s="15">
        <v>48.458470502</v>
      </c>
    </row>
    <row r="298" spans="1:6" ht="11.25">
      <c r="A298" s="4">
        <f t="shared" si="4"/>
        <v>296</v>
      </c>
      <c r="B298" s="4" t="s">
        <v>1029</v>
      </c>
      <c r="C298" s="4">
        <v>7703330703</v>
      </c>
      <c r="D298" s="15">
        <v>50.386853818</v>
      </c>
      <c r="E298" s="15">
        <v>1.9500171263333332</v>
      </c>
      <c r="F298" s="15">
        <v>48.43683669166666</v>
      </c>
    </row>
    <row r="299" spans="1:6" ht="11.25">
      <c r="A299" s="4">
        <f t="shared" si="4"/>
        <v>297</v>
      </c>
      <c r="B299" s="4" t="s">
        <v>797</v>
      </c>
      <c r="C299" s="4">
        <v>7704254043</v>
      </c>
      <c r="D299" s="15">
        <v>99.54137476999999</v>
      </c>
      <c r="E299" s="15">
        <v>51.112532943666665</v>
      </c>
      <c r="F299" s="15">
        <v>48.428841826333326</v>
      </c>
    </row>
    <row r="300" spans="1:6" ht="11.25">
      <c r="A300" s="4">
        <f t="shared" si="4"/>
        <v>298</v>
      </c>
      <c r="B300" s="4" t="s">
        <v>1037</v>
      </c>
      <c r="C300" s="4">
        <v>7705450650</v>
      </c>
      <c r="D300" s="15">
        <v>49.77906018833334</v>
      </c>
      <c r="E300" s="15">
        <v>1.3607569373333332</v>
      </c>
      <c r="F300" s="15">
        <v>48.418303251000005</v>
      </c>
    </row>
    <row r="301" spans="1:6" ht="11.25">
      <c r="A301" s="4">
        <f t="shared" si="4"/>
        <v>299</v>
      </c>
      <c r="B301" s="4" t="s">
        <v>1202</v>
      </c>
      <c r="C301" s="4">
        <v>7714537516</v>
      </c>
      <c r="D301" s="15">
        <v>48.333</v>
      </c>
      <c r="E301" s="15">
        <v>0</v>
      </c>
      <c r="F301" s="15">
        <v>48.333</v>
      </c>
    </row>
    <row r="302" spans="1:6" ht="11.25">
      <c r="A302" s="4">
        <f t="shared" si="4"/>
        <v>300</v>
      </c>
      <c r="B302" s="4" t="s">
        <v>850</v>
      </c>
      <c r="C302" s="4">
        <v>7704216658</v>
      </c>
      <c r="D302" s="15">
        <v>74.66</v>
      </c>
      <c r="E302" s="15">
        <v>26.6</v>
      </c>
      <c r="F302" s="15">
        <v>48.06</v>
      </c>
    </row>
    <row r="303" spans="1:6" ht="11.25">
      <c r="A303" s="4">
        <f t="shared" si="4"/>
        <v>301</v>
      </c>
      <c r="B303" s="4" t="s">
        <v>1025</v>
      </c>
      <c r="C303" s="4">
        <v>7713520968</v>
      </c>
      <c r="D303" s="15">
        <v>50.39669343166667</v>
      </c>
      <c r="E303" s="15">
        <v>2.339619944333333</v>
      </c>
      <c r="F303" s="15">
        <v>48.057073487333334</v>
      </c>
    </row>
    <row r="304" spans="1:6" ht="11.25">
      <c r="A304" s="4">
        <f t="shared" si="4"/>
        <v>302</v>
      </c>
      <c r="B304" s="4" t="s">
        <v>1022</v>
      </c>
      <c r="C304" s="4">
        <v>7706294186</v>
      </c>
      <c r="D304" s="15">
        <v>51.57059239266667</v>
      </c>
      <c r="E304" s="15">
        <v>3.6547109926666668</v>
      </c>
      <c r="F304" s="15">
        <v>47.9158814</v>
      </c>
    </row>
    <row r="305" spans="1:6" ht="11.25">
      <c r="A305" s="4">
        <f t="shared" si="4"/>
        <v>303</v>
      </c>
      <c r="B305" s="4" t="s">
        <v>931</v>
      </c>
      <c r="C305" s="4">
        <v>7736238380</v>
      </c>
      <c r="D305" s="15">
        <v>60.732720931</v>
      </c>
      <c r="E305" s="15">
        <v>13.069736207666667</v>
      </c>
      <c r="F305" s="15">
        <v>47.66298472333334</v>
      </c>
    </row>
    <row r="306" spans="1:6" ht="11.25">
      <c r="A306" s="4">
        <f t="shared" si="4"/>
        <v>304</v>
      </c>
      <c r="B306" s="4" t="s">
        <v>1012</v>
      </c>
      <c r="C306" s="4">
        <v>7709384487</v>
      </c>
      <c r="D306" s="15">
        <v>53.23790764</v>
      </c>
      <c r="E306" s="15">
        <v>5.627616325</v>
      </c>
      <c r="F306" s="15">
        <v>47.610291315000005</v>
      </c>
    </row>
    <row r="307" spans="1:6" ht="11.25">
      <c r="A307" s="4">
        <f t="shared" si="4"/>
        <v>305</v>
      </c>
      <c r="B307" s="4" t="s">
        <v>1203</v>
      </c>
      <c r="C307" s="4">
        <v>7717138870</v>
      </c>
      <c r="D307" s="15">
        <v>47.84925120166667</v>
      </c>
      <c r="E307" s="15">
        <v>0.3675645766666667</v>
      </c>
      <c r="F307" s="15">
        <v>47.481686625</v>
      </c>
    </row>
    <row r="308" spans="1:6" ht="11.25">
      <c r="A308" s="4">
        <f t="shared" si="4"/>
        <v>306</v>
      </c>
      <c r="B308" s="4" t="s">
        <v>982</v>
      </c>
      <c r="C308" s="4">
        <v>7720271328</v>
      </c>
      <c r="D308" s="15">
        <v>55.644823036</v>
      </c>
      <c r="E308" s="15">
        <v>8.180213333333333</v>
      </c>
      <c r="F308" s="15">
        <v>47.464609702666664</v>
      </c>
    </row>
    <row r="309" spans="1:6" ht="11.25">
      <c r="A309" s="4">
        <f t="shared" si="4"/>
        <v>307</v>
      </c>
      <c r="B309" s="4" t="s">
        <v>1043</v>
      </c>
      <c r="C309" s="4">
        <v>7728280684</v>
      </c>
      <c r="D309" s="15">
        <v>49.082940119999996</v>
      </c>
      <c r="E309" s="15">
        <v>1.6306233333333333</v>
      </c>
      <c r="F309" s="15">
        <v>47.452316786666664</v>
      </c>
    </row>
    <row r="310" spans="1:6" ht="11.25">
      <c r="A310" s="4">
        <f t="shared" si="4"/>
        <v>308</v>
      </c>
      <c r="B310" s="4" t="s">
        <v>912</v>
      </c>
      <c r="C310" s="4">
        <v>7713221340</v>
      </c>
      <c r="D310" s="15">
        <v>63.21273333333333</v>
      </c>
      <c r="E310" s="15">
        <v>15.770766666666667</v>
      </c>
      <c r="F310" s="15">
        <v>47.441966666666666</v>
      </c>
    </row>
    <row r="311" spans="1:6" ht="11.25">
      <c r="A311" s="4">
        <f t="shared" si="4"/>
        <v>309</v>
      </c>
      <c r="B311" s="4" t="s">
        <v>1053</v>
      </c>
      <c r="C311" s="4">
        <v>7710514229</v>
      </c>
      <c r="D311" s="15">
        <v>47.41008483833334</v>
      </c>
      <c r="E311" s="15">
        <v>0.011666666666666667</v>
      </c>
      <c r="F311" s="15">
        <v>47.39841817166668</v>
      </c>
    </row>
    <row r="312" spans="1:6" ht="11.25">
      <c r="A312" s="4">
        <f t="shared" si="4"/>
        <v>310</v>
      </c>
      <c r="B312" s="4" t="s">
        <v>1049</v>
      </c>
      <c r="C312" s="4">
        <v>7714273165</v>
      </c>
      <c r="D312" s="15">
        <v>48.37684749266666</v>
      </c>
      <c r="E312" s="15">
        <v>1.0355832723333334</v>
      </c>
      <c r="F312" s="15">
        <v>47.34126422033333</v>
      </c>
    </row>
    <row r="313" spans="1:6" ht="11.25">
      <c r="A313" s="4">
        <f t="shared" si="4"/>
        <v>311</v>
      </c>
      <c r="B313" s="4" t="s">
        <v>1050</v>
      </c>
      <c r="C313" s="4">
        <v>7118018781</v>
      </c>
      <c r="D313" s="15">
        <v>48.16316920466667</v>
      </c>
      <c r="E313" s="15">
        <v>1.0340256993333334</v>
      </c>
      <c r="F313" s="15">
        <v>47.12914350533334</v>
      </c>
    </row>
    <row r="314" spans="1:6" ht="11.25">
      <c r="A314" s="4">
        <f t="shared" si="4"/>
        <v>312</v>
      </c>
      <c r="B314" s="4" t="s">
        <v>243</v>
      </c>
      <c r="C314" s="4">
        <v>6714016688</v>
      </c>
      <c r="D314" s="15">
        <v>47.63313286933333</v>
      </c>
      <c r="E314" s="15">
        <v>0.5300965546666667</v>
      </c>
      <c r="F314" s="15">
        <v>47.10303631466667</v>
      </c>
    </row>
    <row r="315" spans="1:6" ht="11.25">
      <c r="A315" s="4">
        <f t="shared" si="4"/>
        <v>313</v>
      </c>
      <c r="B315" s="4" t="s">
        <v>929</v>
      </c>
      <c r="C315" s="4">
        <v>7725215775</v>
      </c>
      <c r="D315" s="15">
        <v>62.379249288333334</v>
      </c>
      <c r="E315" s="15">
        <v>15.356342</v>
      </c>
      <c r="F315" s="15">
        <v>47.022907288333336</v>
      </c>
    </row>
    <row r="316" spans="1:6" ht="11.25">
      <c r="A316" s="4">
        <f t="shared" si="4"/>
        <v>314</v>
      </c>
      <c r="B316" s="4" t="s">
        <v>1034</v>
      </c>
      <c r="C316" s="4">
        <v>7714272620</v>
      </c>
      <c r="D316" s="15">
        <v>49.795017224</v>
      </c>
      <c r="E316" s="15">
        <v>2.864352352</v>
      </c>
      <c r="F316" s="15">
        <v>46.930664872</v>
      </c>
    </row>
    <row r="317" spans="1:6" ht="11.25">
      <c r="A317" s="4">
        <f t="shared" si="4"/>
        <v>315</v>
      </c>
      <c r="B317" s="4" t="s">
        <v>1057</v>
      </c>
      <c r="C317" s="4">
        <v>7710413823</v>
      </c>
      <c r="D317" s="15">
        <v>47.094793388333336</v>
      </c>
      <c r="E317" s="15">
        <v>0.21718333333333334</v>
      </c>
      <c r="F317" s="15">
        <v>46.877610055000005</v>
      </c>
    </row>
    <row r="318" spans="1:6" ht="11.25">
      <c r="A318" s="4">
        <f t="shared" si="4"/>
        <v>316</v>
      </c>
      <c r="B318" s="4" t="s">
        <v>1060</v>
      </c>
      <c r="C318" s="4">
        <v>7838027042</v>
      </c>
      <c r="D318" s="15">
        <v>46.85966666666667</v>
      </c>
      <c r="E318" s="15">
        <v>0</v>
      </c>
      <c r="F318" s="15">
        <v>46.85966666666667</v>
      </c>
    </row>
    <row r="319" spans="1:6" ht="11.25">
      <c r="A319" s="4">
        <f t="shared" si="4"/>
        <v>317</v>
      </c>
      <c r="B319" s="4" t="s">
        <v>1041</v>
      </c>
      <c r="C319" s="4">
        <v>7704515802</v>
      </c>
      <c r="D319" s="15">
        <v>49.20209761666667</v>
      </c>
      <c r="E319" s="15">
        <v>2.418807166666667</v>
      </c>
      <c r="F319" s="15">
        <v>46.78329045</v>
      </c>
    </row>
    <row r="320" spans="1:6" ht="11.25">
      <c r="A320" s="4">
        <f t="shared" si="4"/>
        <v>318</v>
      </c>
      <c r="B320" s="4" t="s">
        <v>1048</v>
      </c>
      <c r="C320" s="4">
        <v>7715395007</v>
      </c>
      <c r="D320" s="15">
        <v>48.601586555333334</v>
      </c>
      <c r="E320" s="15">
        <v>1.8957571039999999</v>
      </c>
      <c r="F320" s="15">
        <v>46.70582945133334</v>
      </c>
    </row>
    <row r="321" spans="1:6" ht="11.25">
      <c r="A321" s="4">
        <f t="shared" si="4"/>
        <v>319</v>
      </c>
      <c r="B321" s="4" t="s">
        <v>888</v>
      </c>
      <c r="C321" s="4">
        <v>7705502644</v>
      </c>
      <c r="D321" s="15">
        <v>68.303864364</v>
      </c>
      <c r="E321" s="15">
        <v>21.64214323966667</v>
      </c>
      <c r="F321" s="15">
        <v>46.66172112433334</v>
      </c>
    </row>
    <row r="322" spans="1:6" ht="11.25">
      <c r="A322" s="4">
        <f t="shared" si="4"/>
        <v>320</v>
      </c>
      <c r="B322" s="4" t="s">
        <v>878</v>
      </c>
      <c r="C322" s="4">
        <v>7802210340</v>
      </c>
      <c r="D322" s="15">
        <v>68.76538015433334</v>
      </c>
      <c r="E322" s="15">
        <v>22.107290666666668</v>
      </c>
      <c r="F322" s="15">
        <v>46.65808948766667</v>
      </c>
    </row>
    <row r="323" spans="1:6" ht="11.25">
      <c r="A323" s="4">
        <f t="shared" si="4"/>
        <v>321</v>
      </c>
      <c r="B323" s="4" t="s">
        <v>1079</v>
      </c>
      <c r="C323" s="4">
        <v>7705043461</v>
      </c>
      <c r="D323" s="15">
        <v>46.617278189333334</v>
      </c>
      <c r="E323" s="15">
        <v>0.067971964</v>
      </c>
      <c r="F323" s="15">
        <v>46.54930622533333</v>
      </c>
    </row>
    <row r="324" spans="1:6" ht="11.25">
      <c r="A324" s="4">
        <f aca="true" t="shared" si="5" ref="A324:A387">1+A323</f>
        <v>322</v>
      </c>
      <c r="B324" s="4" t="s">
        <v>1063</v>
      </c>
      <c r="C324" s="4">
        <v>5259033531</v>
      </c>
      <c r="D324" s="15">
        <v>46.495923069</v>
      </c>
      <c r="E324" s="15">
        <v>0</v>
      </c>
      <c r="F324" s="15">
        <v>46.495923069</v>
      </c>
    </row>
    <row r="325" spans="1:6" ht="11.25">
      <c r="A325" s="4">
        <f t="shared" si="5"/>
        <v>323</v>
      </c>
      <c r="B325" s="4" t="s">
        <v>902</v>
      </c>
      <c r="C325" s="4">
        <v>7705584460</v>
      </c>
      <c r="D325" s="15">
        <v>48.65046220233333</v>
      </c>
      <c r="E325" s="15">
        <v>2.4114601253333334</v>
      </c>
      <c r="F325" s="15">
        <v>46.239002076999995</v>
      </c>
    </row>
    <row r="326" spans="1:6" ht="11.25">
      <c r="A326" s="4">
        <f t="shared" si="5"/>
        <v>324</v>
      </c>
      <c r="B326" s="4" t="s">
        <v>951</v>
      </c>
      <c r="C326" s="4">
        <v>7719508340</v>
      </c>
      <c r="D326" s="15">
        <v>52.271900374666664</v>
      </c>
      <c r="E326" s="15">
        <v>6.101076666666667</v>
      </c>
      <c r="F326" s="15">
        <v>46.170823708</v>
      </c>
    </row>
    <row r="327" spans="1:6" ht="11.25">
      <c r="A327" s="4">
        <f t="shared" si="5"/>
        <v>325</v>
      </c>
      <c r="B327" s="4" t="s">
        <v>1017</v>
      </c>
      <c r="C327" s="4">
        <v>7703292920</v>
      </c>
      <c r="D327" s="15">
        <v>52.31570834233333</v>
      </c>
      <c r="E327" s="15">
        <v>6.251670405333333</v>
      </c>
      <c r="F327" s="15">
        <v>46.064037936999995</v>
      </c>
    </row>
    <row r="328" spans="1:6" ht="11.25">
      <c r="A328" s="4">
        <f t="shared" si="5"/>
        <v>326</v>
      </c>
      <c r="B328" s="4" t="s">
        <v>1058</v>
      </c>
      <c r="C328" s="4">
        <v>7725174409</v>
      </c>
      <c r="D328" s="15">
        <v>47.08636714266667</v>
      </c>
      <c r="E328" s="15">
        <v>1.037109172</v>
      </c>
      <c r="F328" s="15">
        <v>46.049257970666666</v>
      </c>
    </row>
    <row r="329" spans="1:6" ht="22.5">
      <c r="A329" s="4">
        <f t="shared" si="5"/>
        <v>327</v>
      </c>
      <c r="B329" s="4" t="s">
        <v>1070</v>
      </c>
      <c r="C329" s="4">
        <v>7719201220</v>
      </c>
      <c r="D329" s="15">
        <v>46.01307594533333</v>
      </c>
      <c r="E329" s="15">
        <v>0.0016279266666666668</v>
      </c>
      <c r="F329" s="15">
        <v>46.01144801866666</v>
      </c>
    </row>
    <row r="330" spans="1:6" ht="11.25">
      <c r="A330" s="4">
        <f t="shared" si="5"/>
        <v>328</v>
      </c>
      <c r="B330" s="4" t="s">
        <v>1069</v>
      </c>
      <c r="C330" s="4">
        <v>7702298623</v>
      </c>
      <c r="D330" s="15">
        <v>45.958231526</v>
      </c>
      <c r="E330" s="15">
        <v>0.077793549</v>
      </c>
      <c r="F330" s="15">
        <v>45.880437977</v>
      </c>
    </row>
    <row r="331" spans="1:6" ht="11.25">
      <c r="A331" s="4">
        <f t="shared" si="5"/>
        <v>329</v>
      </c>
      <c r="B331" s="4" t="s">
        <v>1072</v>
      </c>
      <c r="C331" s="4">
        <v>7724251192</v>
      </c>
      <c r="D331" s="15">
        <v>45.94639253933334</v>
      </c>
      <c r="E331" s="15">
        <v>0.06832426666666666</v>
      </c>
      <c r="F331" s="15">
        <v>45.878068272666674</v>
      </c>
    </row>
    <row r="332" spans="1:6" ht="11.25">
      <c r="A332" s="4">
        <f t="shared" si="5"/>
        <v>330</v>
      </c>
      <c r="B332" s="4" t="s">
        <v>986</v>
      </c>
      <c r="C332" s="4">
        <v>6901012027</v>
      </c>
      <c r="D332" s="15">
        <v>56.781686848</v>
      </c>
      <c r="E332" s="15">
        <v>10.922734401666666</v>
      </c>
      <c r="F332" s="15">
        <v>45.85895244633333</v>
      </c>
    </row>
    <row r="333" spans="1:6" ht="11.25">
      <c r="A333" s="4">
        <f t="shared" si="5"/>
        <v>331</v>
      </c>
      <c r="B333" s="4" t="s">
        <v>999</v>
      </c>
      <c r="C333" s="4">
        <v>7725170757</v>
      </c>
      <c r="D333" s="15">
        <v>54.31767889666667</v>
      </c>
      <c r="E333" s="15">
        <v>8.493464950333333</v>
      </c>
      <c r="F333" s="15">
        <v>45.82421394633334</v>
      </c>
    </row>
    <row r="334" spans="1:6" ht="11.25">
      <c r="A334" s="4">
        <f t="shared" si="5"/>
        <v>332</v>
      </c>
      <c r="B334" s="4" t="s">
        <v>898</v>
      </c>
      <c r="C334" s="4">
        <v>7705503158</v>
      </c>
      <c r="D334" s="15">
        <v>65.14308417933334</v>
      </c>
      <c r="E334" s="15">
        <v>19.37591243533333</v>
      </c>
      <c r="F334" s="15">
        <v>45.76717174400001</v>
      </c>
    </row>
    <row r="335" spans="1:6" ht="11.25">
      <c r="A335" s="4">
        <f t="shared" si="5"/>
        <v>333</v>
      </c>
      <c r="B335" s="4" t="s">
        <v>1075</v>
      </c>
      <c r="C335" s="4">
        <v>5008004214</v>
      </c>
      <c r="D335" s="15">
        <v>45.93507</v>
      </c>
      <c r="E335" s="15">
        <v>0.244979579</v>
      </c>
      <c r="F335" s="15">
        <v>45.690090421</v>
      </c>
    </row>
    <row r="336" spans="1:6" ht="11.25">
      <c r="A336" s="4">
        <f t="shared" si="5"/>
        <v>334</v>
      </c>
      <c r="B336" s="4" t="s">
        <v>1028</v>
      </c>
      <c r="C336" s="4">
        <v>8001008303</v>
      </c>
      <c r="D336" s="15">
        <v>50.57689966666667</v>
      </c>
      <c r="E336" s="15">
        <v>4.903313333333333</v>
      </c>
      <c r="F336" s="15">
        <v>45.67358633333333</v>
      </c>
    </row>
    <row r="337" spans="1:6" ht="11.25">
      <c r="A337" s="4">
        <f t="shared" si="5"/>
        <v>335</v>
      </c>
      <c r="B337" s="4" t="s">
        <v>1032</v>
      </c>
      <c r="C337" s="4">
        <v>7714312914</v>
      </c>
      <c r="D337" s="15">
        <v>49.480490552999996</v>
      </c>
      <c r="E337" s="15">
        <v>3.938382852333333</v>
      </c>
      <c r="F337" s="15">
        <v>45.54210770066666</v>
      </c>
    </row>
    <row r="338" spans="1:6" ht="11.25">
      <c r="A338" s="4">
        <f t="shared" si="5"/>
        <v>336</v>
      </c>
      <c r="B338" s="4" t="s">
        <v>1078</v>
      </c>
      <c r="C338" s="4">
        <v>7730087021</v>
      </c>
      <c r="D338" s="15">
        <v>45.464627207333336</v>
      </c>
      <c r="E338" s="15">
        <v>0</v>
      </c>
      <c r="F338" s="15">
        <v>45.464627207333336</v>
      </c>
    </row>
    <row r="339" spans="1:6" ht="11.25">
      <c r="A339" s="4">
        <f t="shared" si="5"/>
        <v>337</v>
      </c>
      <c r="B339" s="4" t="s">
        <v>998</v>
      </c>
      <c r="C339" s="4">
        <v>7702325316</v>
      </c>
      <c r="D339" s="15">
        <v>54.51129112433333</v>
      </c>
      <c r="E339" s="15">
        <v>9.0705804</v>
      </c>
      <c r="F339" s="15">
        <v>45.44071072433333</v>
      </c>
    </row>
    <row r="340" spans="1:6" ht="11.25">
      <c r="A340" s="4">
        <f t="shared" si="5"/>
        <v>338</v>
      </c>
      <c r="B340" s="4" t="s">
        <v>1204</v>
      </c>
      <c r="C340" s="4">
        <v>7724250590</v>
      </c>
      <c r="D340" s="15">
        <v>45.22666666666667</v>
      </c>
      <c r="E340" s="15">
        <v>0.00016666666666666666</v>
      </c>
      <c r="F340" s="15">
        <v>45.2265</v>
      </c>
    </row>
    <row r="341" spans="1:6" ht="11.25">
      <c r="A341" s="4">
        <f t="shared" si="5"/>
        <v>339</v>
      </c>
      <c r="B341" s="4" t="s">
        <v>1074</v>
      </c>
      <c r="C341" s="4">
        <v>411109935</v>
      </c>
      <c r="D341" s="15">
        <v>45.874535466666664</v>
      </c>
      <c r="E341" s="15">
        <v>0.6642566666666667</v>
      </c>
      <c r="F341" s="15">
        <v>45.2102788</v>
      </c>
    </row>
    <row r="342" spans="1:6" ht="11.25">
      <c r="A342" s="4">
        <f t="shared" si="5"/>
        <v>340</v>
      </c>
      <c r="B342" s="4" t="s">
        <v>1082</v>
      </c>
      <c r="C342" s="4">
        <v>7702514144</v>
      </c>
      <c r="D342" s="15">
        <v>45.19110410133333</v>
      </c>
      <c r="E342" s="15">
        <v>0.009630065666666666</v>
      </c>
      <c r="F342" s="15">
        <v>45.18147403566666</v>
      </c>
    </row>
    <row r="343" spans="1:6" ht="11.25">
      <c r="A343" s="4">
        <f t="shared" si="5"/>
        <v>341</v>
      </c>
      <c r="B343" s="4" t="s">
        <v>1047</v>
      </c>
      <c r="C343" s="4">
        <v>7724268291</v>
      </c>
      <c r="D343" s="15">
        <v>48.827445661</v>
      </c>
      <c r="E343" s="15">
        <v>3.7372851893333334</v>
      </c>
      <c r="F343" s="15">
        <v>45.090160471666664</v>
      </c>
    </row>
    <row r="344" spans="1:6" ht="11.25">
      <c r="A344" s="4">
        <f t="shared" si="5"/>
        <v>342</v>
      </c>
      <c r="B344" s="4" t="s">
        <v>1066</v>
      </c>
      <c r="C344" s="4">
        <v>7724288643</v>
      </c>
      <c r="D344" s="15">
        <v>46.41951953766667</v>
      </c>
      <c r="E344" s="15">
        <v>1.372854219</v>
      </c>
      <c r="F344" s="15">
        <v>45.046665318666676</v>
      </c>
    </row>
    <row r="345" spans="1:6" ht="11.25">
      <c r="A345" s="4">
        <f t="shared" si="5"/>
        <v>343</v>
      </c>
      <c r="B345" s="4" t="s">
        <v>1084</v>
      </c>
      <c r="C345" s="4">
        <v>7709420819</v>
      </c>
      <c r="D345" s="15">
        <v>44.97045521533334</v>
      </c>
      <c r="E345" s="15">
        <v>0</v>
      </c>
      <c r="F345" s="15">
        <v>44.97045521533334</v>
      </c>
    </row>
    <row r="346" spans="1:6" ht="11.25">
      <c r="A346" s="4">
        <f t="shared" si="5"/>
        <v>344</v>
      </c>
      <c r="B346" s="4" t="s">
        <v>1062</v>
      </c>
      <c r="C346" s="4">
        <v>7734250600</v>
      </c>
      <c r="D346" s="15">
        <v>46.586640506</v>
      </c>
      <c r="E346" s="15">
        <v>1.7994386043333335</v>
      </c>
      <c r="F346" s="15">
        <v>44.78720190166667</v>
      </c>
    </row>
    <row r="347" spans="1:6" ht="11.25">
      <c r="A347" s="4">
        <f t="shared" si="5"/>
        <v>345</v>
      </c>
      <c r="B347" s="4" t="s">
        <v>1083</v>
      </c>
      <c r="C347" s="4">
        <v>7721203306</v>
      </c>
      <c r="D347" s="15">
        <v>45.014507253</v>
      </c>
      <c r="E347" s="15">
        <v>0.27010728666666667</v>
      </c>
      <c r="F347" s="15">
        <v>44.74439996633333</v>
      </c>
    </row>
    <row r="348" spans="1:6" ht="11.25">
      <c r="A348" s="4">
        <f t="shared" si="5"/>
        <v>346</v>
      </c>
      <c r="B348" s="4" t="s">
        <v>1009</v>
      </c>
      <c r="C348" s="4">
        <v>7719270270</v>
      </c>
      <c r="D348" s="15">
        <v>53.2579105</v>
      </c>
      <c r="E348" s="15">
        <v>8.572883558666666</v>
      </c>
      <c r="F348" s="15">
        <v>44.685026941333334</v>
      </c>
    </row>
    <row r="349" spans="1:6" ht="11.25">
      <c r="A349" s="4">
        <f t="shared" si="5"/>
        <v>347</v>
      </c>
      <c r="B349" s="4" t="s">
        <v>1051</v>
      </c>
      <c r="C349" s="4">
        <v>5077011861</v>
      </c>
      <c r="D349" s="15">
        <v>47.871460755</v>
      </c>
      <c r="E349" s="15">
        <v>3.239523538</v>
      </c>
      <c r="F349" s="15">
        <v>44.631937217</v>
      </c>
    </row>
    <row r="350" spans="1:6" ht="11.25">
      <c r="A350" s="4">
        <f t="shared" si="5"/>
        <v>348</v>
      </c>
      <c r="B350" s="4" t="s">
        <v>1061</v>
      </c>
      <c r="C350" s="4">
        <v>7536002500</v>
      </c>
      <c r="D350" s="15">
        <v>46.80312077433334</v>
      </c>
      <c r="E350" s="15">
        <v>2.2070666666666665</v>
      </c>
      <c r="F350" s="15">
        <v>44.59605410766667</v>
      </c>
    </row>
    <row r="351" spans="1:6" ht="11.25">
      <c r="A351" s="4">
        <f t="shared" si="5"/>
        <v>349</v>
      </c>
      <c r="B351" s="4" t="s">
        <v>1018</v>
      </c>
      <c r="C351" s="4">
        <v>7714263537</v>
      </c>
      <c r="D351" s="15">
        <v>52.191779284666666</v>
      </c>
      <c r="E351" s="15">
        <v>7.698482473</v>
      </c>
      <c r="F351" s="15">
        <v>44.49329681166667</v>
      </c>
    </row>
    <row r="352" spans="1:6" ht="11.25">
      <c r="A352" s="4">
        <f t="shared" si="5"/>
        <v>350</v>
      </c>
      <c r="B352" s="4" t="s">
        <v>1055</v>
      </c>
      <c r="C352" s="4">
        <v>814115145</v>
      </c>
      <c r="D352" s="15">
        <v>47.29377033766667</v>
      </c>
      <c r="E352" s="15">
        <v>2.9057765306666665</v>
      </c>
      <c r="F352" s="15">
        <v>44.38799380700001</v>
      </c>
    </row>
    <row r="353" spans="1:6" ht="11.25">
      <c r="A353" s="4">
        <f t="shared" si="5"/>
        <v>351</v>
      </c>
      <c r="B353" s="4" t="s">
        <v>1090</v>
      </c>
      <c r="C353" s="4">
        <v>6714021938</v>
      </c>
      <c r="D353" s="15">
        <v>44.38653771266667</v>
      </c>
      <c r="E353" s="15">
        <v>0.030095192333333333</v>
      </c>
      <c r="F353" s="15">
        <v>44.35644252033334</v>
      </c>
    </row>
    <row r="354" spans="1:6" ht="11.25">
      <c r="A354" s="4">
        <f t="shared" si="5"/>
        <v>352</v>
      </c>
      <c r="B354" s="4" t="s">
        <v>1080</v>
      </c>
      <c r="C354" s="4">
        <v>7715274274</v>
      </c>
      <c r="D354" s="15">
        <v>45.117764601333334</v>
      </c>
      <c r="E354" s="15">
        <v>0.825886219</v>
      </c>
      <c r="F354" s="15">
        <v>44.29187838233334</v>
      </c>
    </row>
    <row r="355" spans="1:6" ht="11.25">
      <c r="A355" s="4">
        <f t="shared" si="5"/>
        <v>353</v>
      </c>
      <c r="B355" s="4" t="s">
        <v>1087</v>
      </c>
      <c r="C355" s="4">
        <v>7710352680</v>
      </c>
      <c r="D355" s="15">
        <v>44.615353025666664</v>
      </c>
      <c r="E355" s="15">
        <v>0.34181479833333334</v>
      </c>
      <c r="F355" s="15">
        <v>44.27353822733333</v>
      </c>
    </row>
    <row r="356" spans="1:6" ht="34.5">
      <c r="A356" s="4">
        <f t="shared" si="5"/>
        <v>354</v>
      </c>
      <c r="B356" s="4" t="s">
        <v>1091</v>
      </c>
      <c r="C356" s="4">
        <v>7706284163</v>
      </c>
      <c r="D356" s="15">
        <v>44.28475820766667</v>
      </c>
      <c r="E356" s="15">
        <v>0.028605066666666668</v>
      </c>
      <c r="F356" s="15">
        <v>44.256153141000006</v>
      </c>
    </row>
    <row r="357" spans="1:6" ht="22.5">
      <c r="A357" s="4">
        <f t="shared" si="5"/>
        <v>355</v>
      </c>
      <c r="B357" s="4" t="s">
        <v>1092</v>
      </c>
      <c r="C357" s="4">
        <v>7810120958</v>
      </c>
      <c r="D357" s="15">
        <v>44.20951238666667</v>
      </c>
      <c r="E357" s="15">
        <v>0.0027262393333333333</v>
      </c>
      <c r="F357" s="15">
        <v>44.20678614733333</v>
      </c>
    </row>
    <row r="358" spans="1:6" ht="11.25">
      <c r="A358" s="4">
        <f t="shared" si="5"/>
        <v>356</v>
      </c>
      <c r="B358" s="4" t="s">
        <v>1059</v>
      </c>
      <c r="C358" s="4">
        <v>7714523513</v>
      </c>
      <c r="D358" s="15">
        <v>46.364351846000005</v>
      </c>
      <c r="E358" s="15">
        <v>2.2275582403333334</v>
      </c>
      <c r="F358" s="15">
        <v>44.136793605666675</v>
      </c>
    </row>
    <row r="359" spans="1:6" ht="11.25">
      <c r="A359" s="4">
        <f t="shared" si="5"/>
        <v>357</v>
      </c>
      <c r="B359" s="4" t="s">
        <v>839</v>
      </c>
      <c r="C359" s="4">
        <v>7705250370</v>
      </c>
      <c r="D359" s="15">
        <v>78.738884009</v>
      </c>
      <c r="E359" s="15">
        <v>34.67558728033333</v>
      </c>
      <c r="F359" s="15">
        <v>44.06329672866667</v>
      </c>
    </row>
    <row r="360" spans="1:6" ht="11.25">
      <c r="A360" s="4">
        <f t="shared" si="5"/>
        <v>358</v>
      </c>
      <c r="B360" s="4" t="s">
        <v>884</v>
      </c>
      <c r="C360" s="4">
        <v>5504036333</v>
      </c>
      <c r="D360" s="15">
        <v>69.147168087</v>
      </c>
      <c r="E360" s="15">
        <v>25.139374252333337</v>
      </c>
      <c r="F360" s="15">
        <v>44.00779383466666</v>
      </c>
    </row>
    <row r="361" spans="1:6" ht="11.25">
      <c r="A361" s="4">
        <f t="shared" si="5"/>
        <v>359</v>
      </c>
      <c r="B361" s="4" t="s">
        <v>1023</v>
      </c>
      <c r="C361" s="4">
        <v>7703354197</v>
      </c>
      <c r="D361" s="15">
        <v>49.481590268</v>
      </c>
      <c r="E361" s="15">
        <v>5.530648466666666</v>
      </c>
      <c r="F361" s="15">
        <v>43.95094180133333</v>
      </c>
    </row>
    <row r="362" spans="1:6" ht="11.25">
      <c r="A362" s="4">
        <f t="shared" si="5"/>
        <v>360</v>
      </c>
      <c r="B362" s="4" t="s">
        <v>1065</v>
      </c>
      <c r="C362" s="4">
        <v>7709332055</v>
      </c>
      <c r="D362" s="15">
        <v>46.74260380133333</v>
      </c>
      <c r="E362" s="15">
        <v>2.8208868383333336</v>
      </c>
      <c r="F362" s="15">
        <v>43.921716962999994</v>
      </c>
    </row>
    <row r="363" spans="1:6" ht="22.5">
      <c r="A363" s="4">
        <f t="shared" si="5"/>
        <v>361</v>
      </c>
      <c r="B363" s="4" t="s">
        <v>1097</v>
      </c>
      <c r="C363" s="4">
        <v>7730140878</v>
      </c>
      <c r="D363" s="15">
        <v>43.86493946433333</v>
      </c>
      <c r="E363" s="15">
        <v>0.1225</v>
      </c>
      <c r="F363" s="15">
        <v>43.74243946433333</v>
      </c>
    </row>
    <row r="364" spans="1:6" ht="11.25">
      <c r="A364" s="4">
        <f t="shared" si="5"/>
        <v>362</v>
      </c>
      <c r="B364" s="4" t="s">
        <v>1044</v>
      </c>
      <c r="C364" s="4">
        <v>7725174367</v>
      </c>
      <c r="D364" s="15">
        <v>49.03410792933334</v>
      </c>
      <c r="E364" s="15">
        <v>5.338822790666667</v>
      </c>
      <c r="F364" s="15">
        <v>43.69528513866667</v>
      </c>
    </row>
    <row r="365" spans="1:6" ht="11.25">
      <c r="A365" s="4">
        <f t="shared" si="5"/>
        <v>363</v>
      </c>
      <c r="B365" s="4" t="s">
        <v>1081</v>
      </c>
      <c r="C365" s="4">
        <v>7715363686</v>
      </c>
      <c r="D365" s="15">
        <v>45.08526420966667</v>
      </c>
      <c r="E365" s="15">
        <v>1.5306718496666667</v>
      </c>
      <c r="F365" s="15">
        <v>43.55459236</v>
      </c>
    </row>
    <row r="366" spans="1:6" ht="11.25">
      <c r="A366" s="4">
        <f t="shared" si="5"/>
        <v>364</v>
      </c>
      <c r="B366" s="4" t="s">
        <v>1056</v>
      </c>
      <c r="C366" s="4">
        <v>7703292536</v>
      </c>
      <c r="D366" s="15">
        <v>46.853273767666664</v>
      </c>
      <c r="E366" s="15">
        <v>3.3190344683333333</v>
      </c>
      <c r="F366" s="15">
        <v>43.53423929933333</v>
      </c>
    </row>
    <row r="367" spans="1:6" ht="11.25">
      <c r="A367" s="4">
        <f t="shared" si="5"/>
        <v>365</v>
      </c>
      <c r="B367" s="4" t="s">
        <v>1101</v>
      </c>
      <c r="C367" s="4">
        <v>7706525588</v>
      </c>
      <c r="D367" s="15">
        <v>43.33381623333333</v>
      </c>
      <c r="E367" s="15">
        <v>0.000354</v>
      </c>
      <c r="F367" s="15">
        <v>43.33346223333333</v>
      </c>
    </row>
    <row r="368" spans="1:6" ht="11.25">
      <c r="A368" s="4">
        <f t="shared" si="5"/>
        <v>366</v>
      </c>
      <c r="B368" s="4" t="s">
        <v>1095</v>
      </c>
      <c r="C368" s="4">
        <v>7708109752</v>
      </c>
      <c r="D368" s="15">
        <v>43.89304953766667</v>
      </c>
      <c r="E368" s="15">
        <v>0.573628346</v>
      </c>
      <c r="F368" s="15">
        <v>43.31942119166667</v>
      </c>
    </row>
    <row r="369" spans="1:6" ht="11.25">
      <c r="A369" s="4">
        <f t="shared" si="5"/>
        <v>367</v>
      </c>
      <c r="B369" s="4" t="s">
        <v>1076</v>
      </c>
      <c r="C369" s="4">
        <v>7706306145</v>
      </c>
      <c r="D369" s="15">
        <v>45.791198808333334</v>
      </c>
      <c r="E369" s="15">
        <v>2.514926177</v>
      </c>
      <c r="F369" s="15">
        <v>43.276272631333335</v>
      </c>
    </row>
    <row r="370" spans="1:6" ht="11.25">
      <c r="A370" s="4">
        <f t="shared" si="5"/>
        <v>368</v>
      </c>
      <c r="B370" s="4" t="s">
        <v>1089</v>
      </c>
      <c r="C370" s="4">
        <v>7729376646</v>
      </c>
      <c r="D370" s="15">
        <v>44.428489164333335</v>
      </c>
      <c r="E370" s="15">
        <v>1.169655098</v>
      </c>
      <c r="F370" s="15">
        <v>43.258834066333335</v>
      </c>
    </row>
    <row r="371" spans="1:6" ht="11.25">
      <c r="A371" s="4">
        <f t="shared" si="5"/>
        <v>369</v>
      </c>
      <c r="B371" s="4" t="s">
        <v>1085</v>
      </c>
      <c r="C371" s="4">
        <v>7714521153</v>
      </c>
      <c r="D371" s="15">
        <v>44.33163833333333</v>
      </c>
      <c r="E371" s="15">
        <v>1.125009468</v>
      </c>
      <c r="F371" s="15">
        <v>43.20662886533333</v>
      </c>
    </row>
    <row r="372" spans="1:6" ht="11.25">
      <c r="A372" s="4">
        <f t="shared" si="5"/>
        <v>370</v>
      </c>
      <c r="B372" s="4" t="s">
        <v>801</v>
      </c>
      <c r="C372" s="4">
        <v>507021833</v>
      </c>
      <c r="D372" s="15">
        <v>96.17624112</v>
      </c>
      <c r="E372" s="15">
        <v>53.01866044966667</v>
      </c>
      <c r="F372" s="15">
        <v>43.15758067033333</v>
      </c>
    </row>
    <row r="373" spans="1:6" ht="11.25">
      <c r="A373" s="4">
        <f t="shared" si="5"/>
        <v>371</v>
      </c>
      <c r="B373" s="4" t="s">
        <v>1064</v>
      </c>
      <c r="C373" s="4">
        <v>7706282977</v>
      </c>
      <c r="D373" s="15">
        <v>46.49122568333333</v>
      </c>
      <c r="E373" s="15">
        <v>3.35892</v>
      </c>
      <c r="F373" s="15">
        <v>43.132305683333335</v>
      </c>
    </row>
    <row r="374" spans="1:6" ht="11.25">
      <c r="A374" s="4">
        <f t="shared" si="5"/>
        <v>372</v>
      </c>
      <c r="B374" s="4" t="s">
        <v>1054</v>
      </c>
      <c r="C374" s="4">
        <v>7713340997</v>
      </c>
      <c r="D374" s="15">
        <v>43.627825476999995</v>
      </c>
      <c r="E374" s="15">
        <v>0.5941219373333334</v>
      </c>
      <c r="F374" s="15">
        <v>43.03370353966666</v>
      </c>
    </row>
    <row r="375" spans="1:6" ht="11.25">
      <c r="A375" s="4">
        <f t="shared" si="5"/>
        <v>373</v>
      </c>
      <c r="B375" s="4" t="s">
        <v>1270</v>
      </c>
      <c r="C375" s="4">
        <v>8608020333</v>
      </c>
      <c r="D375" s="15">
        <v>43.13056720233333</v>
      </c>
      <c r="E375" s="15">
        <v>0.18130791200000002</v>
      </c>
      <c r="F375" s="15">
        <v>42.94925929033333</v>
      </c>
    </row>
    <row r="376" spans="1:6" ht="11.25">
      <c r="A376" s="4">
        <f t="shared" si="5"/>
        <v>374</v>
      </c>
      <c r="B376" s="4" t="s">
        <v>1045</v>
      </c>
      <c r="C376" s="4">
        <v>5032070634</v>
      </c>
      <c r="D376" s="15">
        <v>48.948223139666666</v>
      </c>
      <c r="E376" s="15">
        <v>6.1359927149999995</v>
      </c>
      <c r="F376" s="15">
        <v>42.812230424666666</v>
      </c>
    </row>
    <row r="377" spans="1:6" ht="11.25">
      <c r="A377" s="4">
        <f t="shared" si="5"/>
        <v>375</v>
      </c>
      <c r="B377" s="4" t="s">
        <v>939</v>
      </c>
      <c r="C377" s="4">
        <v>814129638</v>
      </c>
      <c r="D377" s="15">
        <v>60.17230086666667</v>
      </c>
      <c r="E377" s="15">
        <v>17.365025160000002</v>
      </c>
      <c r="F377" s="15">
        <v>42.807275706666665</v>
      </c>
    </row>
    <row r="378" spans="1:6" ht="34.5">
      <c r="A378" s="4">
        <f t="shared" si="5"/>
        <v>376</v>
      </c>
      <c r="B378" s="4" t="s">
        <v>909</v>
      </c>
      <c r="C378" s="4">
        <v>264015786</v>
      </c>
      <c r="D378" s="15">
        <v>63.46561969766667</v>
      </c>
      <c r="E378" s="15">
        <v>20.735114176333333</v>
      </c>
      <c r="F378" s="15">
        <v>42.730505521333335</v>
      </c>
    </row>
    <row r="379" spans="1:6" ht="11.25">
      <c r="A379" s="4">
        <f t="shared" si="5"/>
        <v>377</v>
      </c>
      <c r="B379" s="4" t="s">
        <v>1102</v>
      </c>
      <c r="C379" s="4">
        <v>7703342160</v>
      </c>
      <c r="D379" s="15">
        <v>44.32196696366667</v>
      </c>
      <c r="E379" s="15">
        <v>1.8793996666666666</v>
      </c>
      <c r="F379" s="15">
        <v>42.442567297000004</v>
      </c>
    </row>
    <row r="380" spans="1:6" ht="11.25">
      <c r="A380" s="4">
        <f t="shared" si="5"/>
        <v>378</v>
      </c>
      <c r="B380" s="4" t="s">
        <v>961</v>
      </c>
      <c r="C380" s="4">
        <v>7724280877</v>
      </c>
      <c r="D380" s="15">
        <v>57.566568344333334</v>
      </c>
      <c r="E380" s="15">
        <v>15.146466666666667</v>
      </c>
      <c r="F380" s="15">
        <v>42.420101677666665</v>
      </c>
    </row>
    <row r="381" spans="1:6" ht="11.25">
      <c r="A381" s="4">
        <f t="shared" si="5"/>
        <v>379</v>
      </c>
      <c r="B381" s="4" t="s">
        <v>1099</v>
      </c>
      <c r="C381" s="4">
        <v>7701302651</v>
      </c>
      <c r="D381" s="15">
        <v>43.74350951433333</v>
      </c>
      <c r="E381" s="15">
        <v>1.4066992806666667</v>
      </c>
      <c r="F381" s="15">
        <v>42.33681023366667</v>
      </c>
    </row>
    <row r="382" spans="1:6" ht="22.5">
      <c r="A382" s="4">
        <f t="shared" si="5"/>
        <v>380</v>
      </c>
      <c r="B382" s="4" t="s">
        <v>1107</v>
      </c>
      <c r="C382" s="4">
        <v>7719214170</v>
      </c>
      <c r="D382" s="15">
        <v>42.345603350333334</v>
      </c>
      <c r="E382" s="15">
        <v>0.016857088333333332</v>
      </c>
      <c r="F382" s="15">
        <v>42.328746262</v>
      </c>
    </row>
    <row r="383" spans="1:6" ht="11.25">
      <c r="A383" s="4">
        <f t="shared" si="5"/>
        <v>381</v>
      </c>
      <c r="B383" s="4" t="s">
        <v>1110</v>
      </c>
      <c r="C383" s="4">
        <v>6829003861</v>
      </c>
      <c r="D383" s="15">
        <v>42.19894871533334</v>
      </c>
      <c r="E383" s="15">
        <v>0</v>
      </c>
      <c r="F383" s="15">
        <v>42.19894871533334</v>
      </c>
    </row>
    <row r="384" spans="1:6" ht="22.5">
      <c r="A384" s="4">
        <f t="shared" si="5"/>
        <v>382</v>
      </c>
      <c r="B384" s="4" t="s">
        <v>1124</v>
      </c>
      <c r="C384" s="4">
        <v>6500010551</v>
      </c>
      <c r="D384" s="15">
        <v>42.18146163766667</v>
      </c>
      <c r="E384" s="15">
        <v>0.000135881</v>
      </c>
      <c r="F384" s="15">
        <v>42.18132575666667</v>
      </c>
    </row>
    <row r="385" spans="1:6" ht="22.5">
      <c r="A385" s="4">
        <f t="shared" si="5"/>
        <v>383</v>
      </c>
      <c r="B385" s="4" t="s">
        <v>1103</v>
      </c>
      <c r="C385" s="4">
        <v>7705568170</v>
      </c>
      <c r="D385" s="15">
        <v>43.125344825333336</v>
      </c>
      <c r="E385" s="15">
        <v>1.0285843236666667</v>
      </c>
      <c r="F385" s="15">
        <v>42.09676050166667</v>
      </c>
    </row>
    <row r="386" spans="1:6" ht="11.25">
      <c r="A386" s="4">
        <f t="shared" si="5"/>
        <v>384</v>
      </c>
      <c r="B386" s="4" t="s">
        <v>1106</v>
      </c>
      <c r="C386" s="4">
        <v>7702351901</v>
      </c>
      <c r="D386" s="15">
        <v>42.403849963000006</v>
      </c>
      <c r="E386" s="15">
        <v>0.374088274</v>
      </c>
      <c r="F386" s="15">
        <v>42.029761689000004</v>
      </c>
    </row>
    <row r="387" spans="1:6" ht="11.25">
      <c r="A387" s="4">
        <f t="shared" si="5"/>
        <v>385</v>
      </c>
      <c r="B387" s="4" t="s">
        <v>1100</v>
      </c>
      <c r="C387" s="4">
        <v>7713268860</v>
      </c>
      <c r="D387" s="15">
        <v>42.11524512733333</v>
      </c>
      <c r="E387" s="15">
        <v>0.103154189</v>
      </c>
      <c r="F387" s="15">
        <v>42.01209093833333</v>
      </c>
    </row>
    <row r="388" spans="1:6" ht="11.25">
      <c r="A388" s="4">
        <f aca="true" t="shared" si="6" ref="A388:A451">1+A387</f>
        <v>386</v>
      </c>
      <c r="B388" s="4" t="s">
        <v>1120</v>
      </c>
      <c r="C388" s="4">
        <v>7705475856</v>
      </c>
      <c r="D388" s="15">
        <v>41.94723333333334</v>
      </c>
      <c r="E388" s="15">
        <v>0</v>
      </c>
      <c r="F388" s="15">
        <v>41.94723333333334</v>
      </c>
    </row>
    <row r="389" spans="1:6" ht="11.25">
      <c r="A389" s="4">
        <f t="shared" si="6"/>
        <v>387</v>
      </c>
      <c r="B389" s="4" t="s">
        <v>1112</v>
      </c>
      <c r="C389" s="4">
        <v>7731186868</v>
      </c>
      <c r="D389" s="15">
        <v>42.023161609666666</v>
      </c>
      <c r="E389" s="15">
        <v>0.103899282</v>
      </c>
      <c r="F389" s="15">
        <v>41.919262327666665</v>
      </c>
    </row>
    <row r="390" spans="1:6" ht="11.25">
      <c r="A390" s="4">
        <f t="shared" si="6"/>
        <v>388</v>
      </c>
      <c r="B390" s="4" t="s">
        <v>1117</v>
      </c>
      <c r="C390" s="4">
        <v>7717141978</v>
      </c>
      <c r="D390" s="15">
        <v>41.803149176666665</v>
      </c>
      <c r="E390" s="15">
        <v>0</v>
      </c>
      <c r="F390" s="15">
        <v>41.803149176666665</v>
      </c>
    </row>
    <row r="391" spans="1:6" ht="11.25">
      <c r="A391" s="4">
        <f t="shared" si="6"/>
        <v>389</v>
      </c>
      <c r="B391" s="4" t="s">
        <v>1077</v>
      </c>
      <c r="C391" s="4">
        <v>7710518897</v>
      </c>
      <c r="D391" s="15">
        <v>45.506425631333336</v>
      </c>
      <c r="E391" s="15">
        <v>3.755966030333333</v>
      </c>
      <c r="F391" s="15">
        <v>41.750459601</v>
      </c>
    </row>
    <row r="392" spans="1:6" ht="11.25">
      <c r="A392" s="4">
        <f t="shared" si="6"/>
        <v>390</v>
      </c>
      <c r="B392" s="4" t="s">
        <v>1205</v>
      </c>
      <c r="C392" s="4">
        <v>7702336188</v>
      </c>
      <c r="D392" s="15">
        <v>41.67300506666667</v>
      </c>
      <c r="E392" s="15">
        <v>0</v>
      </c>
      <c r="F392" s="15">
        <v>41.67300506666667</v>
      </c>
    </row>
    <row r="393" spans="1:6" ht="11.25">
      <c r="A393" s="4">
        <f t="shared" si="6"/>
        <v>391</v>
      </c>
      <c r="B393" s="4" t="s">
        <v>994</v>
      </c>
      <c r="C393" s="4">
        <v>7709367354</v>
      </c>
      <c r="D393" s="15">
        <v>57.146457608666665</v>
      </c>
      <c r="E393" s="15">
        <v>15.565435083999999</v>
      </c>
      <c r="F393" s="15">
        <v>41.581022524666665</v>
      </c>
    </row>
    <row r="394" spans="1:6" ht="11.25">
      <c r="A394" s="4">
        <f t="shared" si="6"/>
        <v>392</v>
      </c>
      <c r="B394" s="4" t="s">
        <v>1121</v>
      </c>
      <c r="C394" s="4">
        <v>411076486</v>
      </c>
      <c r="D394" s="15">
        <v>41.552176603999996</v>
      </c>
      <c r="E394" s="15">
        <v>0.000427</v>
      </c>
      <c r="F394" s="15">
        <v>41.551749603999994</v>
      </c>
    </row>
    <row r="395" spans="1:6" ht="11.25">
      <c r="A395" s="4">
        <f t="shared" si="6"/>
        <v>393</v>
      </c>
      <c r="B395" s="4" t="s">
        <v>1114</v>
      </c>
      <c r="C395" s="4">
        <v>7423018996</v>
      </c>
      <c r="D395" s="15">
        <v>41.93626370166667</v>
      </c>
      <c r="E395" s="15">
        <v>0.4003933333333333</v>
      </c>
      <c r="F395" s="15">
        <v>41.535870368333335</v>
      </c>
    </row>
    <row r="396" spans="1:6" ht="11.25">
      <c r="A396" s="4">
        <f t="shared" si="6"/>
        <v>394</v>
      </c>
      <c r="B396" s="4" t="s">
        <v>988</v>
      </c>
      <c r="C396" s="4">
        <v>7705419876</v>
      </c>
      <c r="D396" s="15">
        <v>55.590562566</v>
      </c>
      <c r="E396" s="15">
        <v>14.143538211333333</v>
      </c>
      <c r="F396" s="15">
        <v>41.44702435466667</v>
      </c>
    </row>
    <row r="397" spans="1:6" ht="22.5">
      <c r="A397" s="4">
        <f t="shared" si="6"/>
        <v>395</v>
      </c>
      <c r="B397" s="4" t="s">
        <v>966</v>
      </c>
      <c r="C397" s="4">
        <v>5050009865</v>
      </c>
      <c r="D397" s="15">
        <v>56.786253495666664</v>
      </c>
      <c r="E397" s="15">
        <v>15.344632598666665</v>
      </c>
      <c r="F397" s="15">
        <v>41.441620897</v>
      </c>
    </row>
    <row r="398" spans="1:6" ht="11.25">
      <c r="A398" s="4">
        <f t="shared" si="6"/>
        <v>396</v>
      </c>
      <c r="B398" s="4" t="s">
        <v>1098</v>
      </c>
      <c r="C398" s="4">
        <v>7710435697</v>
      </c>
      <c r="D398" s="15">
        <v>44.048254869666664</v>
      </c>
      <c r="E398" s="15">
        <v>2.6530315016666663</v>
      </c>
      <c r="F398" s="15">
        <v>41.395223367999996</v>
      </c>
    </row>
    <row r="399" spans="1:6" ht="11.25">
      <c r="A399" s="4">
        <f t="shared" si="6"/>
        <v>397</v>
      </c>
      <c r="B399" s="4" t="s">
        <v>1113</v>
      </c>
      <c r="C399" s="4">
        <v>7707321467</v>
      </c>
      <c r="D399" s="15">
        <v>41.389191121</v>
      </c>
      <c r="E399" s="15">
        <v>0</v>
      </c>
      <c r="F399" s="15">
        <v>41.389191121</v>
      </c>
    </row>
    <row r="400" spans="1:6" ht="22.5">
      <c r="A400" s="4">
        <f t="shared" si="6"/>
        <v>398</v>
      </c>
      <c r="B400" s="4" t="s">
        <v>1123</v>
      </c>
      <c r="C400" s="4">
        <v>7703352200</v>
      </c>
      <c r="D400" s="15">
        <v>41.396734067</v>
      </c>
      <c r="E400" s="15">
        <v>0.310823381</v>
      </c>
      <c r="F400" s="15">
        <v>41.085910686</v>
      </c>
    </row>
    <row r="401" spans="1:6" ht="11.25">
      <c r="A401" s="4">
        <f t="shared" si="6"/>
        <v>399</v>
      </c>
      <c r="B401" s="4" t="s">
        <v>1122</v>
      </c>
      <c r="C401" s="4">
        <v>7705485685</v>
      </c>
      <c r="D401" s="15">
        <v>41.397389536666665</v>
      </c>
      <c r="E401" s="15">
        <v>0.4155933333333333</v>
      </c>
      <c r="F401" s="15">
        <v>40.98179620333333</v>
      </c>
    </row>
    <row r="402" spans="1:6" ht="11.25">
      <c r="A402" s="4">
        <f t="shared" si="6"/>
        <v>400</v>
      </c>
      <c r="B402" s="4" t="s">
        <v>1111</v>
      </c>
      <c r="C402" s="4">
        <v>7704071272</v>
      </c>
      <c r="D402" s="15">
        <v>42.13040921666666</v>
      </c>
      <c r="E402" s="15">
        <v>1.2259325033333335</v>
      </c>
      <c r="F402" s="15">
        <v>40.90447671333333</v>
      </c>
    </row>
    <row r="403" spans="1:6" ht="11.25">
      <c r="A403" s="4">
        <f t="shared" si="6"/>
        <v>401</v>
      </c>
      <c r="B403" s="4" t="s">
        <v>1134</v>
      </c>
      <c r="C403" s="4">
        <v>7709381038</v>
      </c>
      <c r="D403" s="15">
        <v>40.65480383333333</v>
      </c>
      <c r="E403" s="15">
        <v>0.0015333333333333334</v>
      </c>
      <c r="F403" s="15">
        <v>40.6532705</v>
      </c>
    </row>
    <row r="404" spans="1:6" ht="11.25">
      <c r="A404" s="4">
        <f t="shared" si="6"/>
        <v>402</v>
      </c>
      <c r="B404" s="4" t="s">
        <v>861</v>
      </c>
      <c r="C404" s="4">
        <v>7704168860</v>
      </c>
      <c r="D404" s="15">
        <v>72.10123792933334</v>
      </c>
      <c r="E404" s="15">
        <v>31.451234725666666</v>
      </c>
      <c r="F404" s="15">
        <v>40.65000320366667</v>
      </c>
    </row>
    <row r="405" spans="1:6" ht="11.25">
      <c r="A405" s="4">
        <f t="shared" si="6"/>
        <v>403</v>
      </c>
      <c r="B405" s="4" t="s">
        <v>1206</v>
      </c>
      <c r="C405" s="4">
        <v>7724223886</v>
      </c>
      <c r="D405" s="15">
        <v>40.64384666666667</v>
      </c>
      <c r="E405" s="15">
        <v>0</v>
      </c>
      <c r="F405" s="15">
        <v>40.64384666666667</v>
      </c>
    </row>
    <row r="406" spans="1:6" ht="11.25">
      <c r="A406" s="4">
        <f t="shared" si="6"/>
        <v>404</v>
      </c>
      <c r="B406" s="4" t="s">
        <v>1136</v>
      </c>
      <c r="C406" s="4">
        <v>7727146647</v>
      </c>
      <c r="D406" s="15">
        <v>40.651120794</v>
      </c>
      <c r="E406" s="15">
        <v>0.034091499</v>
      </c>
      <c r="F406" s="15">
        <v>40.617029295</v>
      </c>
    </row>
    <row r="407" spans="1:6" ht="11.25">
      <c r="A407" s="4">
        <f t="shared" si="6"/>
        <v>405</v>
      </c>
      <c r="B407" s="4" t="s">
        <v>1137</v>
      </c>
      <c r="C407" s="4">
        <v>5003032828</v>
      </c>
      <c r="D407" s="15">
        <v>40.43749581033333</v>
      </c>
      <c r="E407" s="15">
        <v>0.06444225766666667</v>
      </c>
      <c r="F407" s="15">
        <v>40.37305355266666</v>
      </c>
    </row>
    <row r="408" spans="1:6" ht="11.25">
      <c r="A408" s="4">
        <f t="shared" si="6"/>
        <v>406</v>
      </c>
      <c r="B408" s="4" t="s">
        <v>1119</v>
      </c>
      <c r="C408" s="4">
        <v>7703354479</v>
      </c>
      <c r="D408" s="15">
        <v>41.651615748000005</v>
      </c>
      <c r="E408" s="15">
        <v>1.3422213356666666</v>
      </c>
      <c r="F408" s="15">
        <v>40.30939441233334</v>
      </c>
    </row>
    <row r="409" spans="1:6" ht="11.25">
      <c r="A409" s="4">
        <f t="shared" si="6"/>
        <v>407</v>
      </c>
      <c r="B409" s="4" t="s">
        <v>940</v>
      </c>
      <c r="C409" s="4">
        <v>7714274225</v>
      </c>
      <c r="D409" s="15">
        <v>60.06645383866667</v>
      </c>
      <c r="E409" s="15">
        <v>19.902584225</v>
      </c>
      <c r="F409" s="15">
        <v>40.16386961366667</v>
      </c>
    </row>
    <row r="410" spans="1:6" ht="11.25">
      <c r="A410" s="4">
        <f t="shared" si="6"/>
        <v>408</v>
      </c>
      <c r="B410" s="4" t="s">
        <v>1141</v>
      </c>
      <c r="C410" s="4">
        <v>7710414506</v>
      </c>
      <c r="D410" s="15">
        <v>40.159548533333336</v>
      </c>
      <c r="E410" s="15">
        <v>0</v>
      </c>
      <c r="F410" s="15">
        <v>40.159548533333336</v>
      </c>
    </row>
    <row r="411" spans="1:6" ht="11.25">
      <c r="A411" s="4">
        <f t="shared" si="6"/>
        <v>409</v>
      </c>
      <c r="B411" s="4" t="s">
        <v>1140</v>
      </c>
      <c r="C411" s="4">
        <v>7705462328</v>
      </c>
      <c r="D411" s="15">
        <v>40.190580180000005</v>
      </c>
      <c r="E411" s="15">
        <v>0.109089721</v>
      </c>
      <c r="F411" s="15">
        <v>40.08149045900001</v>
      </c>
    </row>
    <row r="412" spans="1:6" ht="11.25">
      <c r="A412" s="4">
        <f t="shared" si="6"/>
        <v>410</v>
      </c>
      <c r="B412" s="4" t="s">
        <v>1088</v>
      </c>
      <c r="C412" s="4">
        <v>7709411878</v>
      </c>
      <c r="D412" s="15">
        <v>44.683176542666665</v>
      </c>
      <c r="E412" s="15">
        <v>4.628639079</v>
      </c>
      <c r="F412" s="15">
        <v>40.05453746366666</v>
      </c>
    </row>
    <row r="413" spans="1:6" ht="11.25">
      <c r="A413" s="4">
        <f t="shared" si="6"/>
        <v>411</v>
      </c>
      <c r="B413" s="4" t="s">
        <v>1093</v>
      </c>
      <c r="C413" s="4">
        <v>7709387738</v>
      </c>
      <c r="D413" s="15">
        <v>44.31494041833333</v>
      </c>
      <c r="E413" s="15">
        <v>4.302455598333333</v>
      </c>
      <c r="F413" s="15">
        <v>40.01248482</v>
      </c>
    </row>
    <row r="414" spans="1:6" ht="11.25">
      <c r="A414" s="4">
        <f t="shared" si="6"/>
        <v>412</v>
      </c>
      <c r="B414" s="4" t="s">
        <v>1146</v>
      </c>
      <c r="C414" s="4">
        <v>7715376759</v>
      </c>
      <c r="D414" s="15">
        <v>40.00276360566667</v>
      </c>
      <c r="E414" s="15">
        <v>0</v>
      </c>
      <c r="F414" s="15">
        <v>40.00276360566667</v>
      </c>
    </row>
    <row r="415" spans="1:6" ht="11.25">
      <c r="A415" s="4">
        <f t="shared" si="6"/>
        <v>413</v>
      </c>
      <c r="B415" s="4" t="s">
        <v>1207</v>
      </c>
      <c r="C415" s="4">
        <v>7707328737</v>
      </c>
      <c r="D415" s="15">
        <v>39.99966666666667</v>
      </c>
      <c r="E415" s="15">
        <v>0</v>
      </c>
      <c r="F415" s="15">
        <v>39.99966666666667</v>
      </c>
    </row>
    <row r="416" spans="1:6" ht="11.25">
      <c r="A416" s="4">
        <f t="shared" si="6"/>
        <v>414</v>
      </c>
      <c r="B416" s="4" t="s">
        <v>844</v>
      </c>
      <c r="C416" s="4">
        <v>7715381830</v>
      </c>
      <c r="D416" s="15">
        <v>53.638666431333334</v>
      </c>
      <c r="E416" s="15">
        <v>13.680262196666666</v>
      </c>
      <c r="F416" s="15">
        <v>39.958404234666666</v>
      </c>
    </row>
    <row r="417" spans="1:6" ht="11.25">
      <c r="A417" s="4">
        <f t="shared" si="6"/>
        <v>415</v>
      </c>
      <c r="B417" s="4" t="s">
        <v>1272</v>
      </c>
      <c r="C417" s="4">
        <v>7705587574</v>
      </c>
      <c r="D417" s="15">
        <v>39.795999343</v>
      </c>
      <c r="E417" s="15">
        <v>0</v>
      </c>
      <c r="F417" s="15">
        <v>39.795999343</v>
      </c>
    </row>
    <row r="418" spans="1:6" ht="11.25">
      <c r="A418" s="4">
        <f t="shared" si="6"/>
        <v>416</v>
      </c>
      <c r="B418" s="4" t="s">
        <v>1104</v>
      </c>
      <c r="C418" s="4">
        <v>7713520911</v>
      </c>
      <c r="D418" s="15">
        <v>42.96668895166667</v>
      </c>
      <c r="E418" s="15">
        <v>3.1770368623333334</v>
      </c>
      <c r="F418" s="15">
        <v>39.78965208933334</v>
      </c>
    </row>
    <row r="419" spans="1:6" ht="11.25">
      <c r="A419" s="4">
        <f t="shared" si="6"/>
        <v>417</v>
      </c>
      <c r="B419" s="4" t="s">
        <v>1208</v>
      </c>
      <c r="C419" s="4">
        <v>7715355188</v>
      </c>
      <c r="D419" s="15">
        <v>39.76590005533333</v>
      </c>
      <c r="E419" s="15">
        <v>0</v>
      </c>
      <c r="F419" s="15">
        <v>39.76590005533333</v>
      </c>
    </row>
    <row r="420" spans="1:6" ht="34.5">
      <c r="A420" s="4">
        <f t="shared" si="6"/>
        <v>418</v>
      </c>
      <c r="B420" s="4" t="s">
        <v>1209</v>
      </c>
      <c r="C420" s="4">
        <v>5024041622</v>
      </c>
      <c r="D420" s="15">
        <v>39.71502066666667</v>
      </c>
      <c r="E420" s="15">
        <v>0</v>
      </c>
      <c r="F420" s="15">
        <v>39.71502066666667</v>
      </c>
    </row>
    <row r="421" spans="1:6" ht="11.25">
      <c r="A421" s="4">
        <f t="shared" si="6"/>
        <v>419</v>
      </c>
      <c r="B421" s="4" t="s">
        <v>1138</v>
      </c>
      <c r="C421" s="4">
        <v>7706134383</v>
      </c>
      <c r="D421" s="15">
        <v>40.20682085233333</v>
      </c>
      <c r="E421" s="15">
        <v>0.5834530859999999</v>
      </c>
      <c r="F421" s="15">
        <v>39.62336776633333</v>
      </c>
    </row>
    <row r="422" spans="1:6" ht="11.25">
      <c r="A422" s="4">
        <f t="shared" si="6"/>
        <v>420</v>
      </c>
      <c r="B422" s="4" t="s">
        <v>1033</v>
      </c>
      <c r="C422" s="4">
        <v>7706207063</v>
      </c>
      <c r="D422" s="15">
        <v>49.79776071566667</v>
      </c>
      <c r="E422" s="15">
        <v>10.27</v>
      </c>
      <c r="F422" s="15">
        <v>39.52776071566667</v>
      </c>
    </row>
    <row r="423" spans="1:6" ht="11.25">
      <c r="A423" s="4">
        <f t="shared" si="6"/>
        <v>421</v>
      </c>
      <c r="B423" s="4" t="s">
        <v>1115</v>
      </c>
      <c r="C423" s="4">
        <v>5000001317</v>
      </c>
      <c r="D423" s="15">
        <v>41.857468505</v>
      </c>
      <c r="E423" s="15">
        <v>2.330454177333333</v>
      </c>
      <c r="F423" s="15">
        <v>39.52701432766667</v>
      </c>
    </row>
    <row r="424" spans="1:6" ht="11.25">
      <c r="A424" s="4">
        <f t="shared" si="6"/>
        <v>422</v>
      </c>
      <c r="B424" s="4" t="s">
        <v>1118</v>
      </c>
      <c r="C424" s="4">
        <v>7718223736</v>
      </c>
      <c r="D424" s="15">
        <v>40.72238263333333</v>
      </c>
      <c r="E424" s="15">
        <v>1.1964751336666666</v>
      </c>
      <c r="F424" s="15">
        <v>39.525907499666666</v>
      </c>
    </row>
    <row r="425" spans="1:6" ht="11.25">
      <c r="A425" s="4">
        <f t="shared" si="6"/>
        <v>423</v>
      </c>
      <c r="B425" s="4" t="s">
        <v>1052</v>
      </c>
      <c r="C425" s="4">
        <v>7733169723</v>
      </c>
      <c r="D425" s="15">
        <v>47.67983565333333</v>
      </c>
      <c r="E425" s="15">
        <v>8.155904345666666</v>
      </c>
      <c r="F425" s="15">
        <v>39.52393130766666</v>
      </c>
    </row>
    <row r="426" spans="1:6" ht="22.5">
      <c r="A426" s="4">
        <f t="shared" si="6"/>
        <v>424</v>
      </c>
      <c r="B426" s="4" t="s">
        <v>932</v>
      </c>
      <c r="C426" s="4">
        <v>8603042044</v>
      </c>
      <c r="D426" s="15">
        <v>61.31058906566667</v>
      </c>
      <c r="E426" s="15">
        <v>21.789864974333334</v>
      </c>
      <c r="F426" s="15">
        <v>39.520724091333335</v>
      </c>
    </row>
    <row r="427" spans="1:6" ht="11.25">
      <c r="A427" s="4">
        <f t="shared" si="6"/>
        <v>425</v>
      </c>
      <c r="B427" s="4" t="s">
        <v>1135</v>
      </c>
      <c r="C427" s="4">
        <v>7730098168</v>
      </c>
      <c r="D427" s="15">
        <v>40.653706828999994</v>
      </c>
      <c r="E427" s="15">
        <v>1.1775833333333334</v>
      </c>
      <c r="F427" s="15">
        <v>39.47612349566666</v>
      </c>
    </row>
    <row r="428" spans="1:6" ht="11.25">
      <c r="A428" s="4">
        <f t="shared" si="6"/>
        <v>426</v>
      </c>
      <c r="B428" s="4" t="s">
        <v>1073</v>
      </c>
      <c r="C428" s="4">
        <v>7725184365</v>
      </c>
      <c r="D428" s="15">
        <v>45.94266398800001</v>
      </c>
      <c r="E428" s="15">
        <v>6.525104717333334</v>
      </c>
      <c r="F428" s="15">
        <v>39.41755927066667</v>
      </c>
    </row>
    <row r="429" spans="1:6" ht="11.25">
      <c r="A429" s="4">
        <f t="shared" si="6"/>
        <v>427</v>
      </c>
      <c r="B429" s="4" t="s">
        <v>897</v>
      </c>
      <c r="C429" s="4">
        <v>7708501166</v>
      </c>
      <c r="D429" s="15">
        <v>64.56589823133334</v>
      </c>
      <c r="E429" s="15">
        <v>25.234942624333335</v>
      </c>
      <c r="F429" s="15">
        <v>39.330955607</v>
      </c>
    </row>
    <row r="430" spans="1:6" ht="11.25">
      <c r="A430" s="4">
        <f t="shared" si="6"/>
        <v>428</v>
      </c>
      <c r="B430" s="4" t="s">
        <v>1116</v>
      </c>
      <c r="C430" s="4">
        <v>7743514680</v>
      </c>
      <c r="D430" s="15">
        <v>42.39066428</v>
      </c>
      <c r="E430" s="15">
        <v>3.200375021666667</v>
      </c>
      <c r="F430" s="15">
        <v>39.19028925833334</v>
      </c>
    </row>
    <row r="431" spans="1:6" ht="11.25">
      <c r="A431" s="4">
        <f t="shared" si="6"/>
        <v>429</v>
      </c>
      <c r="B431" s="4" t="s">
        <v>1005</v>
      </c>
      <c r="C431" s="4">
        <v>7705471996</v>
      </c>
      <c r="D431" s="15">
        <v>53.933045709</v>
      </c>
      <c r="E431" s="15">
        <v>14.759358000333332</v>
      </c>
      <c r="F431" s="15">
        <v>39.17368770866666</v>
      </c>
    </row>
    <row r="432" spans="1:6" ht="22.5">
      <c r="A432" s="4">
        <f t="shared" si="6"/>
        <v>430</v>
      </c>
      <c r="B432" s="4" t="s">
        <v>1210</v>
      </c>
      <c r="C432" s="4">
        <v>7708218462</v>
      </c>
      <c r="D432" s="15">
        <v>39.18800807966667</v>
      </c>
      <c r="E432" s="15">
        <v>0.017683272333333333</v>
      </c>
      <c r="F432" s="15">
        <v>39.17032480733334</v>
      </c>
    </row>
    <row r="433" spans="1:6" ht="11.25">
      <c r="A433" s="4">
        <f t="shared" si="6"/>
        <v>431</v>
      </c>
      <c r="B433" s="4" t="s">
        <v>1211</v>
      </c>
      <c r="C433" s="4">
        <v>7705574952</v>
      </c>
      <c r="D433" s="15">
        <v>39.10262749533333</v>
      </c>
      <c r="E433" s="15">
        <v>0</v>
      </c>
      <c r="F433" s="15">
        <v>39.10262749533333</v>
      </c>
    </row>
    <row r="434" spans="1:6" ht="11.25">
      <c r="A434" s="4">
        <f t="shared" si="6"/>
        <v>432</v>
      </c>
      <c r="B434" s="4" t="s">
        <v>1142</v>
      </c>
      <c r="C434" s="4">
        <v>7713310390</v>
      </c>
      <c r="D434" s="15">
        <v>40.12166666666667</v>
      </c>
      <c r="E434" s="15">
        <v>1.0376666666666667</v>
      </c>
      <c r="F434" s="15">
        <v>39.084</v>
      </c>
    </row>
    <row r="435" spans="1:6" ht="11.25">
      <c r="A435" s="4">
        <f t="shared" si="6"/>
        <v>433</v>
      </c>
      <c r="B435" s="4" t="s">
        <v>1131</v>
      </c>
      <c r="C435" s="4">
        <v>7722255628</v>
      </c>
      <c r="D435" s="15">
        <v>41.005459953</v>
      </c>
      <c r="E435" s="15">
        <v>1.9358578676666667</v>
      </c>
      <c r="F435" s="15">
        <v>39.06960208533333</v>
      </c>
    </row>
    <row r="436" spans="1:6" ht="11.25">
      <c r="A436" s="4">
        <f t="shared" si="6"/>
        <v>434</v>
      </c>
      <c r="B436" s="4" t="s">
        <v>1269</v>
      </c>
      <c r="C436" s="4">
        <v>7735112017</v>
      </c>
      <c r="D436" s="15">
        <v>39.98421237233334</v>
      </c>
      <c r="E436" s="15">
        <v>0.9916050019999999</v>
      </c>
      <c r="F436" s="15">
        <v>38.99260737033334</v>
      </c>
    </row>
    <row r="437" spans="1:6" ht="11.25">
      <c r="A437" s="4">
        <f t="shared" si="6"/>
        <v>435</v>
      </c>
      <c r="B437" s="4" t="s">
        <v>926</v>
      </c>
      <c r="C437" s="4">
        <v>7703323657</v>
      </c>
      <c r="D437" s="15">
        <v>61.182471219</v>
      </c>
      <c r="E437" s="15">
        <v>22.210188696333333</v>
      </c>
      <c r="F437" s="15">
        <v>38.97228252266667</v>
      </c>
    </row>
    <row r="438" spans="1:6" ht="11.25">
      <c r="A438" s="4">
        <f t="shared" si="6"/>
        <v>436</v>
      </c>
      <c r="B438" s="4" t="s">
        <v>1212</v>
      </c>
      <c r="C438" s="4">
        <v>7705504338</v>
      </c>
      <c r="D438" s="15">
        <v>38.847179624333336</v>
      </c>
      <c r="E438" s="15">
        <v>0</v>
      </c>
      <c r="F438" s="15">
        <v>38.847179624333336</v>
      </c>
    </row>
    <row r="439" spans="1:6" ht="11.25">
      <c r="A439" s="4">
        <f t="shared" si="6"/>
        <v>437</v>
      </c>
      <c r="B439" s="4" t="s">
        <v>1213</v>
      </c>
      <c r="C439" s="4">
        <v>7723349244</v>
      </c>
      <c r="D439" s="15">
        <v>38.84084166666667</v>
      </c>
      <c r="E439" s="15">
        <v>0</v>
      </c>
      <c r="F439" s="15">
        <v>38.84084166666667</v>
      </c>
    </row>
    <row r="440" spans="1:6" ht="11.25">
      <c r="A440" s="4">
        <f t="shared" si="6"/>
        <v>438</v>
      </c>
      <c r="B440" s="4" t="s">
        <v>1133</v>
      </c>
      <c r="C440" s="4">
        <v>7706306681</v>
      </c>
      <c r="D440" s="15">
        <v>40.86827404533333</v>
      </c>
      <c r="E440" s="15">
        <v>2.067726721</v>
      </c>
      <c r="F440" s="15">
        <v>38.80054732433333</v>
      </c>
    </row>
    <row r="441" spans="1:6" ht="34.5">
      <c r="A441" s="4">
        <f t="shared" si="6"/>
        <v>439</v>
      </c>
      <c r="B441" s="4" t="s">
        <v>1214</v>
      </c>
      <c r="C441" s="4">
        <v>515010120</v>
      </c>
      <c r="D441" s="15">
        <v>38.77030902866667</v>
      </c>
      <c r="E441" s="15">
        <v>0</v>
      </c>
      <c r="F441" s="15">
        <v>38.77030902866667</v>
      </c>
    </row>
    <row r="442" spans="1:6" ht="11.25">
      <c r="A442" s="4">
        <f t="shared" si="6"/>
        <v>440</v>
      </c>
      <c r="B442" s="4" t="s">
        <v>1068</v>
      </c>
      <c r="C442" s="4">
        <v>7706272591</v>
      </c>
      <c r="D442" s="15">
        <v>46.285772599333335</v>
      </c>
      <c r="E442" s="15">
        <v>7.552800003</v>
      </c>
      <c r="F442" s="15">
        <v>38.73297259633333</v>
      </c>
    </row>
    <row r="443" spans="1:6" ht="11.25">
      <c r="A443" s="4">
        <f t="shared" si="6"/>
        <v>441</v>
      </c>
      <c r="B443" s="4" t="s">
        <v>1036</v>
      </c>
      <c r="C443" s="4">
        <v>7701281063</v>
      </c>
      <c r="D443" s="15">
        <v>49.60162612733333</v>
      </c>
      <c r="E443" s="15">
        <v>10.992316178666668</v>
      </c>
      <c r="F443" s="15">
        <v>38.60930994866666</v>
      </c>
    </row>
    <row r="444" spans="1:6" ht="11.25">
      <c r="A444" s="4">
        <f t="shared" si="6"/>
        <v>442</v>
      </c>
      <c r="B444" s="4" t="s">
        <v>1086</v>
      </c>
      <c r="C444" s="4">
        <v>7704260128</v>
      </c>
      <c r="D444" s="15">
        <v>44.82409312633333</v>
      </c>
      <c r="E444" s="15">
        <v>6.2659880333333335</v>
      </c>
      <c r="F444" s="15">
        <v>38.558105092999995</v>
      </c>
    </row>
    <row r="445" spans="1:6" ht="11.25">
      <c r="A445" s="4">
        <f t="shared" si="6"/>
        <v>443</v>
      </c>
      <c r="B445" s="4" t="s">
        <v>1011</v>
      </c>
      <c r="C445" s="4">
        <v>5047012000</v>
      </c>
      <c r="D445" s="15">
        <v>52.78895815766667</v>
      </c>
      <c r="E445" s="15">
        <v>14.321945656333334</v>
      </c>
      <c r="F445" s="15">
        <v>38.467012501333336</v>
      </c>
    </row>
    <row r="446" spans="1:6" ht="11.25">
      <c r="A446" s="4">
        <f t="shared" si="6"/>
        <v>444</v>
      </c>
      <c r="B446" s="4" t="s">
        <v>1105</v>
      </c>
      <c r="C446" s="4">
        <v>7706182411</v>
      </c>
      <c r="D446" s="15">
        <v>42.54321558033334</v>
      </c>
      <c r="E446" s="15">
        <v>4.176063267666667</v>
      </c>
      <c r="F446" s="15">
        <v>38.367152312666676</v>
      </c>
    </row>
    <row r="447" spans="1:6" ht="11.25">
      <c r="A447" s="4">
        <f t="shared" si="6"/>
        <v>445</v>
      </c>
      <c r="B447" s="4" t="s">
        <v>1215</v>
      </c>
      <c r="C447" s="4">
        <v>7721257157</v>
      </c>
      <c r="D447" s="15">
        <v>40.298432852666664</v>
      </c>
      <c r="E447" s="15">
        <v>2.0404347396666664</v>
      </c>
      <c r="F447" s="15">
        <v>38.257998113</v>
      </c>
    </row>
    <row r="448" spans="1:6" ht="11.25">
      <c r="A448" s="4">
        <f t="shared" si="6"/>
        <v>446</v>
      </c>
      <c r="B448" s="4" t="s">
        <v>1216</v>
      </c>
      <c r="C448" s="4">
        <v>7706536597</v>
      </c>
      <c r="D448" s="15">
        <v>38.70679266233333</v>
      </c>
      <c r="E448" s="15">
        <v>0.46334349333333336</v>
      </c>
      <c r="F448" s="15">
        <v>38.243449168999994</v>
      </c>
    </row>
    <row r="449" spans="1:6" ht="11.25">
      <c r="A449" s="4">
        <f t="shared" si="6"/>
        <v>447</v>
      </c>
      <c r="B449" s="4" t="s">
        <v>1217</v>
      </c>
      <c r="C449" s="4">
        <v>7702190316</v>
      </c>
      <c r="D449" s="15">
        <v>38.64225459166666</v>
      </c>
      <c r="E449" s="15">
        <v>0.4115297076666667</v>
      </c>
      <c r="F449" s="15">
        <v>38.230724884</v>
      </c>
    </row>
    <row r="450" spans="1:6" ht="11.25">
      <c r="A450" s="4">
        <f t="shared" si="6"/>
        <v>448</v>
      </c>
      <c r="B450" s="4" t="s">
        <v>1218</v>
      </c>
      <c r="C450" s="4">
        <v>7716152631</v>
      </c>
      <c r="D450" s="15">
        <v>38.370135283</v>
      </c>
      <c r="E450" s="15">
        <v>0.149043696</v>
      </c>
      <c r="F450" s="15">
        <v>38.221091587000004</v>
      </c>
    </row>
    <row r="451" spans="1:6" ht="11.25">
      <c r="A451" s="4">
        <f t="shared" si="6"/>
        <v>449</v>
      </c>
      <c r="B451" s="4" t="s">
        <v>1096</v>
      </c>
      <c r="C451" s="4">
        <v>7713344254</v>
      </c>
      <c r="D451" s="15">
        <v>43.88376483133334</v>
      </c>
      <c r="E451" s="15">
        <v>5.6665326689999995</v>
      </c>
      <c r="F451" s="15">
        <v>38.21723216233334</v>
      </c>
    </row>
    <row r="452" spans="1:6" ht="11.25">
      <c r="A452" s="4">
        <f aca="true" t="shared" si="7" ref="A452:A501">1+A451</f>
        <v>450</v>
      </c>
      <c r="B452" s="4" t="s">
        <v>1271</v>
      </c>
      <c r="C452" s="4">
        <v>7715340390</v>
      </c>
      <c r="D452" s="15">
        <v>39.807979577999994</v>
      </c>
      <c r="E452" s="15">
        <v>1.6934564416666666</v>
      </c>
      <c r="F452" s="15">
        <v>38.114523136333325</v>
      </c>
    </row>
    <row r="453" spans="1:6" ht="11.25">
      <c r="A453" s="4">
        <f t="shared" si="7"/>
        <v>451</v>
      </c>
      <c r="B453" s="4" t="s">
        <v>1139</v>
      </c>
      <c r="C453" s="4">
        <v>7728277459</v>
      </c>
      <c r="D453" s="15">
        <v>40.20532378433333</v>
      </c>
      <c r="E453" s="15">
        <v>2.141691572</v>
      </c>
      <c r="F453" s="15">
        <v>38.06363221233333</v>
      </c>
    </row>
    <row r="454" spans="1:6" ht="11.25">
      <c r="A454" s="4">
        <f t="shared" si="7"/>
        <v>452</v>
      </c>
      <c r="B454" s="4" t="s">
        <v>1109</v>
      </c>
      <c r="C454" s="4">
        <v>7706296000</v>
      </c>
      <c r="D454" s="15">
        <v>42.217063106333335</v>
      </c>
      <c r="E454" s="15">
        <v>4.206872717666667</v>
      </c>
      <c r="F454" s="15">
        <v>38.010190388666665</v>
      </c>
    </row>
    <row r="455" spans="1:6" ht="11.25">
      <c r="A455" s="4">
        <f t="shared" si="7"/>
        <v>453</v>
      </c>
      <c r="B455" s="4" t="s">
        <v>1219</v>
      </c>
      <c r="C455" s="4">
        <v>7714245496</v>
      </c>
      <c r="D455" s="15">
        <v>38.005645869999995</v>
      </c>
      <c r="E455" s="15">
        <v>0</v>
      </c>
      <c r="F455" s="15">
        <v>38.005645869999995</v>
      </c>
    </row>
    <row r="456" spans="1:6" ht="11.25">
      <c r="A456" s="4">
        <f t="shared" si="7"/>
        <v>454</v>
      </c>
      <c r="B456" s="4" t="s">
        <v>1220</v>
      </c>
      <c r="C456" s="4">
        <v>7703238987</v>
      </c>
      <c r="D456" s="15">
        <v>37.991701756000005</v>
      </c>
      <c r="E456" s="15">
        <v>0</v>
      </c>
      <c r="F456" s="15">
        <v>37.991701756000005</v>
      </c>
    </row>
    <row r="457" spans="1:6" ht="22.5">
      <c r="A457" s="4">
        <f t="shared" si="7"/>
        <v>455</v>
      </c>
      <c r="B457" s="4" t="s">
        <v>1221</v>
      </c>
      <c r="C457" s="4">
        <v>6315222985</v>
      </c>
      <c r="D457" s="15">
        <v>37.849447732</v>
      </c>
      <c r="E457" s="15">
        <v>0.030611612333333333</v>
      </c>
      <c r="F457" s="15">
        <v>37.81883611966667</v>
      </c>
    </row>
    <row r="458" spans="1:6" ht="22.5">
      <c r="A458" s="4">
        <f t="shared" si="7"/>
        <v>456</v>
      </c>
      <c r="B458" s="4" t="s">
        <v>1195</v>
      </c>
      <c r="C458" s="4">
        <v>7703171771</v>
      </c>
      <c r="D458" s="15">
        <v>38.865059549</v>
      </c>
      <c r="E458" s="15">
        <v>1.103769591</v>
      </c>
      <c r="F458" s="15">
        <v>37.761289958</v>
      </c>
    </row>
    <row r="459" spans="1:6" ht="11.25">
      <c r="A459" s="4">
        <f t="shared" si="7"/>
        <v>457</v>
      </c>
      <c r="B459" s="4" t="s">
        <v>1222</v>
      </c>
      <c r="C459" s="4">
        <v>7713287165</v>
      </c>
      <c r="D459" s="15">
        <v>38.75947290733333</v>
      </c>
      <c r="E459" s="15">
        <v>1.0012724666666666</v>
      </c>
      <c r="F459" s="15">
        <v>37.75820044066666</v>
      </c>
    </row>
    <row r="460" spans="1:6" ht="11.25">
      <c r="A460" s="4">
        <f t="shared" si="7"/>
        <v>458</v>
      </c>
      <c r="B460" s="4" t="s">
        <v>1039</v>
      </c>
      <c r="C460" s="4">
        <v>7706271005</v>
      </c>
      <c r="D460" s="15">
        <v>49.33636481266667</v>
      </c>
      <c r="E460" s="15">
        <v>11.660629098333333</v>
      </c>
      <c r="F460" s="15">
        <v>37.67573571433334</v>
      </c>
    </row>
    <row r="461" spans="1:6" ht="11.25">
      <c r="A461" s="4">
        <f t="shared" si="7"/>
        <v>459</v>
      </c>
      <c r="B461" s="4" t="s">
        <v>1130</v>
      </c>
      <c r="C461" s="4">
        <v>7719198786</v>
      </c>
      <c r="D461" s="15">
        <v>41.92403997933334</v>
      </c>
      <c r="E461" s="15">
        <v>4.297356218</v>
      </c>
      <c r="F461" s="15">
        <v>37.62668376133334</v>
      </c>
    </row>
    <row r="462" spans="1:6" ht="11.25">
      <c r="A462" s="4">
        <f t="shared" si="7"/>
        <v>460</v>
      </c>
      <c r="B462" s="4" t="s">
        <v>1143</v>
      </c>
      <c r="C462" s="4">
        <v>7722275705</v>
      </c>
      <c r="D462" s="15">
        <v>40.113404628999994</v>
      </c>
      <c r="E462" s="15">
        <v>2.592349206</v>
      </c>
      <c r="F462" s="15">
        <v>37.52105542299999</v>
      </c>
    </row>
    <row r="463" spans="1:6" ht="11.25">
      <c r="A463" s="4">
        <f t="shared" si="7"/>
        <v>461</v>
      </c>
      <c r="B463" s="4" t="s">
        <v>1223</v>
      </c>
      <c r="C463" s="4">
        <v>7826057821</v>
      </c>
      <c r="D463" s="15">
        <v>37.516141514333334</v>
      </c>
      <c r="E463" s="15">
        <v>0</v>
      </c>
      <c r="F463" s="15">
        <v>37.516141514333334</v>
      </c>
    </row>
    <row r="464" spans="1:6" ht="11.25">
      <c r="A464" s="4">
        <f t="shared" si="7"/>
        <v>462</v>
      </c>
      <c r="B464" s="4" t="s">
        <v>1224</v>
      </c>
      <c r="C464" s="4">
        <v>7722258805</v>
      </c>
      <c r="D464" s="15">
        <v>38.515570892</v>
      </c>
      <c r="E464" s="15">
        <v>1.0140637623333333</v>
      </c>
      <c r="F464" s="15">
        <v>37.50150712966666</v>
      </c>
    </row>
    <row r="465" spans="1:6" ht="11.25">
      <c r="A465" s="4">
        <f t="shared" si="7"/>
        <v>463</v>
      </c>
      <c r="B465" s="4" t="s">
        <v>1225</v>
      </c>
      <c r="C465" s="4">
        <v>7718243997</v>
      </c>
      <c r="D465" s="15">
        <v>37.716046164333335</v>
      </c>
      <c r="E465" s="15">
        <v>0.23018595633333336</v>
      </c>
      <c r="F465" s="15">
        <v>37.485860208</v>
      </c>
    </row>
    <row r="466" spans="1:6" ht="11.25">
      <c r="A466" s="4">
        <f t="shared" si="7"/>
        <v>464</v>
      </c>
      <c r="B466" s="4" t="s">
        <v>1226</v>
      </c>
      <c r="C466" s="4">
        <v>7719260635</v>
      </c>
      <c r="D466" s="15">
        <v>37.42215873333333</v>
      </c>
      <c r="E466" s="15">
        <v>0</v>
      </c>
      <c r="F466" s="15">
        <v>37.42215873333333</v>
      </c>
    </row>
    <row r="467" spans="1:6" ht="11.25">
      <c r="A467" s="4">
        <f t="shared" si="7"/>
        <v>465</v>
      </c>
      <c r="B467" s="4" t="s">
        <v>1129</v>
      </c>
      <c r="C467" s="4">
        <v>7701215046</v>
      </c>
      <c r="D467" s="15">
        <v>40.94904791</v>
      </c>
      <c r="E467" s="15">
        <v>3.5350538609999997</v>
      </c>
      <c r="F467" s="15">
        <v>37.413994048999996</v>
      </c>
    </row>
    <row r="468" spans="1:6" ht="11.25">
      <c r="A468" s="4">
        <f t="shared" si="7"/>
        <v>466</v>
      </c>
      <c r="B468" s="4" t="s">
        <v>1227</v>
      </c>
      <c r="C468" s="4">
        <v>7718247374</v>
      </c>
      <c r="D468" s="15">
        <v>37.529176359</v>
      </c>
      <c r="E468" s="15">
        <v>0.15438806333333335</v>
      </c>
      <c r="F468" s="15">
        <v>37.37478829566666</v>
      </c>
    </row>
    <row r="469" spans="1:6" ht="11.25">
      <c r="A469" s="4">
        <f t="shared" si="7"/>
        <v>467</v>
      </c>
      <c r="B469" s="4" t="s">
        <v>1228</v>
      </c>
      <c r="C469" s="4">
        <v>2308063783</v>
      </c>
      <c r="D469" s="15">
        <v>37.21124416133333</v>
      </c>
      <c r="E469" s="15">
        <v>0.023054937</v>
      </c>
      <c r="F469" s="15">
        <v>37.188189224333335</v>
      </c>
    </row>
    <row r="470" spans="1:6" ht="11.25">
      <c r="A470" s="4">
        <f t="shared" si="7"/>
        <v>468</v>
      </c>
      <c r="B470" s="4" t="s">
        <v>1229</v>
      </c>
      <c r="C470" s="4">
        <v>7724235923</v>
      </c>
      <c r="D470" s="15">
        <v>37.693435900333334</v>
      </c>
      <c r="E470" s="15">
        <v>0.5376852926666666</v>
      </c>
      <c r="F470" s="15">
        <v>37.15575060766667</v>
      </c>
    </row>
    <row r="471" spans="1:6" ht="11.25">
      <c r="A471" s="4">
        <f t="shared" si="7"/>
        <v>469</v>
      </c>
      <c r="B471" s="4" t="s">
        <v>1230</v>
      </c>
      <c r="C471" s="4">
        <v>7727247187</v>
      </c>
      <c r="D471" s="15">
        <v>38.639044721333335</v>
      </c>
      <c r="E471" s="15">
        <v>1.5291563523333334</v>
      </c>
      <c r="F471" s="15">
        <v>37.109888369000004</v>
      </c>
    </row>
    <row r="472" spans="1:6" ht="11.25">
      <c r="A472" s="4">
        <f t="shared" si="7"/>
        <v>470</v>
      </c>
      <c r="B472" s="4" t="s">
        <v>1144</v>
      </c>
      <c r="C472" s="4">
        <v>7726322466</v>
      </c>
      <c r="D472" s="15">
        <v>40.09952477066666</v>
      </c>
      <c r="E472" s="15">
        <v>3.0134120963333335</v>
      </c>
      <c r="F472" s="15">
        <v>37.08611267433333</v>
      </c>
    </row>
    <row r="473" spans="1:6" ht="11.25">
      <c r="A473" s="4">
        <f t="shared" si="7"/>
        <v>471</v>
      </c>
      <c r="B473" s="4" t="s">
        <v>1132</v>
      </c>
      <c r="C473" s="4">
        <v>7715320499</v>
      </c>
      <c r="D473" s="15">
        <v>40.96272230466667</v>
      </c>
      <c r="E473" s="15">
        <v>3.896673884666667</v>
      </c>
      <c r="F473" s="15">
        <v>37.06604842</v>
      </c>
    </row>
    <row r="474" spans="1:6" ht="11.25">
      <c r="A474" s="4">
        <f t="shared" si="7"/>
        <v>472</v>
      </c>
      <c r="B474" s="4" t="s">
        <v>1145</v>
      </c>
      <c r="C474" s="4">
        <v>7710508289</v>
      </c>
      <c r="D474" s="15">
        <v>36.79736691666667</v>
      </c>
      <c r="E474" s="15">
        <v>0</v>
      </c>
      <c r="F474" s="15">
        <v>36.79736691666667</v>
      </c>
    </row>
    <row r="475" spans="1:6" ht="11.25">
      <c r="A475" s="4">
        <f t="shared" si="7"/>
        <v>473</v>
      </c>
      <c r="B475" s="4" t="s">
        <v>1231</v>
      </c>
      <c r="C475" s="4">
        <v>7727227913</v>
      </c>
      <c r="D475" s="15">
        <v>37.350806901999995</v>
      </c>
      <c r="E475" s="15">
        <v>0.5534631493333333</v>
      </c>
      <c r="F475" s="15">
        <v>36.79734375266666</v>
      </c>
    </row>
    <row r="476" spans="1:6" ht="11.25">
      <c r="A476" s="4">
        <f t="shared" si="7"/>
        <v>474</v>
      </c>
      <c r="B476" s="4" t="s">
        <v>1232</v>
      </c>
      <c r="C476" s="4">
        <v>7725223053</v>
      </c>
      <c r="D476" s="15">
        <v>36.78397478766667</v>
      </c>
      <c r="E476" s="15">
        <v>0</v>
      </c>
      <c r="F476" s="15">
        <v>36.78397478766667</v>
      </c>
    </row>
    <row r="477" spans="1:6" ht="11.25">
      <c r="A477" s="4">
        <f t="shared" si="7"/>
        <v>475</v>
      </c>
      <c r="B477" s="4" t="s">
        <v>1233</v>
      </c>
      <c r="C477" s="4">
        <v>2224069806</v>
      </c>
      <c r="D477" s="15">
        <v>36.98882397833333</v>
      </c>
      <c r="E477" s="15">
        <v>0.21283166666666667</v>
      </c>
      <c r="F477" s="15">
        <v>36.77599231166666</v>
      </c>
    </row>
    <row r="478" spans="1:6" ht="11.25">
      <c r="A478" s="4">
        <f t="shared" si="7"/>
        <v>476</v>
      </c>
      <c r="B478" s="4" t="s">
        <v>1234</v>
      </c>
      <c r="C478" s="4">
        <v>7423019319</v>
      </c>
      <c r="D478" s="15">
        <v>38.094107131</v>
      </c>
      <c r="E478" s="15">
        <v>1.3333333333333333</v>
      </c>
      <c r="F478" s="15">
        <v>36.760773797666666</v>
      </c>
    </row>
    <row r="479" spans="1:6" ht="11.25">
      <c r="A479" s="4">
        <f t="shared" si="7"/>
        <v>477</v>
      </c>
      <c r="B479" s="4" t="s">
        <v>1235</v>
      </c>
      <c r="C479" s="4">
        <v>7702042212</v>
      </c>
      <c r="D479" s="15">
        <v>37.517260759</v>
      </c>
      <c r="E479" s="15">
        <v>0.7954540103333333</v>
      </c>
      <c r="F479" s="15">
        <v>36.72180674866667</v>
      </c>
    </row>
    <row r="480" spans="1:6" ht="11.25">
      <c r="A480" s="4">
        <f t="shared" si="7"/>
        <v>478</v>
      </c>
      <c r="B480" s="4" t="s">
        <v>1094</v>
      </c>
      <c r="C480" s="4">
        <v>7717148860</v>
      </c>
      <c r="D480" s="15">
        <v>42.980914341</v>
      </c>
      <c r="E480" s="15">
        <v>6.353122728</v>
      </c>
      <c r="F480" s="15">
        <v>36.627791613</v>
      </c>
    </row>
    <row r="481" spans="1:6" ht="22.5">
      <c r="A481" s="4">
        <f t="shared" si="7"/>
        <v>479</v>
      </c>
      <c r="B481" s="4" t="s">
        <v>1236</v>
      </c>
      <c r="C481" s="4">
        <v>7725506453</v>
      </c>
      <c r="D481" s="15">
        <v>36.58596862166667</v>
      </c>
      <c r="E481" s="15">
        <v>0</v>
      </c>
      <c r="F481" s="15">
        <v>36.58596862166667</v>
      </c>
    </row>
    <row r="482" spans="1:6" ht="22.5">
      <c r="A482" s="4">
        <f t="shared" si="7"/>
        <v>480</v>
      </c>
      <c r="B482" s="4" t="s">
        <v>1237</v>
      </c>
      <c r="C482" s="4">
        <v>7831000010</v>
      </c>
      <c r="D482" s="15">
        <v>38.25456478533333</v>
      </c>
      <c r="E482" s="15">
        <v>1.6747704793333333</v>
      </c>
      <c r="F482" s="15">
        <v>36.579794306</v>
      </c>
    </row>
    <row r="483" spans="1:6" ht="11.25">
      <c r="A483" s="4">
        <f t="shared" si="7"/>
        <v>481</v>
      </c>
      <c r="B483" s="4" t="s">
        <v>1238</v>
      </c>
      <c r="C483" s="4">
        <v>7725151190</v>
      </c>
      <c r="D483" s="15">
        <v>37.935898640000005</v>
      </c>
      <c r="E483" s="15">
        <v>1.3565249933333332</v>
      </c>
      <c r="F483" s="15">
        <v>36.579373646666674</v>
      </c>
    </row>
    <row r="484" spans="1:6" ht="45.75">
      <c r="A484" s="4">
        <f t="shared" si="7"/>
        <v>482</v>
      </c>
      <c r="B484" s="4" t="s">
        <v>1239</v>
      </c>
      <c r="C484" s="4">
        <v>1106014904</v>
      </c>
      <c r="D484" s="15">
        <v>36.55517445</v>
      </c>
      <c r="E484" s="15">
        <v>0</v>
      </c>
      <c r="F484" s="15">
        <v>36.55517445</v>
      </c>
    </row>
    <row r="485" spans="1:6" ht="11.25">
      <c r="A485" s="4">
        <f t="shared" si="7"/>
        <v>483</v>
      </c>
      <c r="B485" s="4" t="s">
        <v>1067</v>
      </c>
      <c r="C485" s="4">
        <v>7709372121</v>
      </c>
      <c r="D485" s="15">
        <v>43.431625059666665</v>
      </c>
      <c r="E485" s="15">
        <v>6.909557352666667</v>
      </c>
      <c r="F485" s="15">
        <v>36.522067707</v>
      </c>
    </row>
    <row r="486" spans="1:6" ht="11.25">
      <c r="A486" s="4">
        <f t="shared" si="7"/>
        <v>484</v>
      </c>
      <c r="B486" s="4" t="s">
        <v>1240</v>
      </c>
      <c r="C486" s="4">
        <v>7708194405</v>
      </c>
      <c r="D486" s="15">
        <v>37.9550237</v>
      </c>
      <c r="E486" s="15">
        <v>1.4471000973333334</v>
      </c>
      <c r="F486" s="15">
        <v>36.507923602666665</v>
      </c>
    </row>
    <row r="487" spans="1:6" ht="11.25">
      <c r="A487" s="4">
        <f t="shared" si="7"/>
        <v>485</v>
      </c>
      <c r="B487" s="4" t="s">
        <v>1024</v>
      </c>
      <c r="C487" s="4">
        <v>7706402787</v>
      </c>
      <c r="D487" s="15">
        <v>51.413515006333334</v>
      </c>
      <c r="E487" s="15">
        <v>14.946052050666665</v>
      </c>
      <c r="F487" s="15">
        <v>36.46746295566667</v>
      </c>
    </row>
    <row r="488" spans="1:6" ht="11.25">
      <c r="A488" s="4">
        <f t="shared" si="7"/>
        <v>486</v>
      </c>
      <c r="B488" s="4" t="s">
        <v>1241</v>
      </c>
      <c r="C488" s="4">
        <v>7703313200</v>
      </c>
      <c r="D488" s="15">
        <v>38.13937594533333</v>
      </c>
      <c r="E488" s="15">
        <v>1.7067851766666666</v>
      </c>
      <c r="F488" s="15">
        <v>36.432590768666664</v>
      </c>
    </row>
    <row r="489" spans="1:6" ht="11.25">
      <c r="A489" s="4">
        <f t="shared" si="7"/>
        <v>487</v>
      </c>
      <c r="B489" s="4" t="s">
        <v>1242</v>
      </c>
      <c r="C489" s="4">
        <v>7722257142</v>
      </c>
      <c r="D489" s="15">
        <v>36.473332592666665</v>
      </c>
      <c r="E489" s="15">
        <v>0.08533333333333333</v>
      </c>
      <c r="F489" s="15">
        <v>36.387999259333334</v>
      </c>
    </row>
    <row r="490" spans="1:6" ht="11.25">
      <c r="A490" s="4">
        <f t="shared" si="7"/>
        <v>488</v>
      </c>
      <c r="B490" s="4" t="s">
        <v>962</v>
      </c>
      <c r="C490" s="4">
        <v>7714254010</v>
      </c>
      <c r="D490" s="15">
        <v>57.38227517166667</v>
      </c>
      <c r="E490" s="15">
        <v>21.008080136333334</v>
      </c>
      <c r="F490" s="15">
        <v>36.37419503533334</v>
      </c>
    </row>
    <row r="491" spans="1:6" ht="11.25">
      <c r="A491" s="4">
        <f t="shared" si="7"/>
        <v>489</v>
      </c>
      <c r="B491" s="4" t="s">
        <v>1243</v>
      </c>
      <c r="C491" s="4">
        <v>7704218694</v>
      </c>
      <c r="D491" s="15">
        <v>36.627043441</v>
      </c>
      <c r="E491" s="15">
        <v>0.27889457766666664</v>
      </c>
      <c r="F491" s="15">
        <v>36.34814886333333</v>
      </c>
    </row>
    <row r="492" spans="1:6" ht="11.25">
      <c r="A492" s="4">
        <f t="shared" si="7"/>
        <v>490</v>
      </c>
      <c r="B492" s="4" t="s">
        <v>1244</v>
      </c>
      <c r="C492" s="4">
        <v>7703363402</v>
      </c>
      <c r="D492" s="15">
        <v>37.237018864333336</v>
      </c>
      <c r="E492" s="15">
        <v>0.8894598333333333</v>
      </c>
      <c r="F492" s="15">
        <v>36.347559031</v>
      </c>
    </row>
    <row r="493" spans="1:6" ht="11.25">
      <c r="A493" s="4">
        <f t="shared" si="7"/>
        <v>491</v>
      </c>
      <c r="B493" s="4" t="s">
        <v>1245</v>
      </c>
      <c r="C493" s="4">
        <v>9909008733</v>
      </c>
      <c r="D493" s="15">
        <v>36.328613700333335</v>
      </c>
      <c r="E493" s="15">
        <v>0.061927010000000005</v>
      </c>
      <c r="F493" s="15">
        <v>36.26668669033334</v>
      </c>
    </row>
    <row r="494" spans="1:6" ht="11.25">
      <c r="A494" s="4">
        <f t="shared" si="7"/>
        <v>492</v>
      </c>
      <c r="B494" s="4" t="s">
        <v>1246</v>
      </c>
      <c r="C494" s="4">
        <v>7718244133</v>
      </c>
      <c r="D494" s="15">
        <v>37.38088508133333</v>
      </c>
      <c r="E494" s="15">
        <v>1.1438489840000001</v>
      </c>
      <c r="F494" s="15">
        <v>36.23703609733333</v>
      </c>
    </row>
    <row r="495" spans="1:6" ht="11.25">
      <c r="A495" s="4">
        <f t="shared" si="7"/>
        <v>493</v>
      </c>
      <c r="B495" s="4" t="s">
        <v>1247</v>
      </c>
      <c r="C495" s="4">
        <v>7710311846</v>
      </c>
      <c r="D495" s="15">
        <v>36.23133333333333</v>
      </c>
      <c r="E495" s="15">
        <v>0</v>
      </c>
      <c r="F495" s="15">
        <v>36.23133333333333</v>
      </c>
    </row>
    <row r="496" spans="1:6" ht="11.25">
      <c r="A496" s="4">
        <f t="shared" si="7"/>
        <v>494</v>
      </c>
      <c r="B496" s="4" t="s">
        <v>1248</v>
      </c>
      <c r="C496" s="4">
        <v>7705512000</v>
      </c>
      <c r="D496" s="15">
        <v>37.328167027</v>
      </c>
      <c r="E496" s="15">
        <v>1.1242449866666666</v>
      </c>
      <c r="F496" s="15">
        <v>36.20392204033333</v>
      </c>
    </row>
    <row r="497" spans="1:6" ht="11.25">
      <c r="A497" s="4">
        <f t="shared" si="7"/>
        <v>495</v>
      </c>
      <c r="B497" s="4" t="s">
        <v>1108</v>
      </c>
      <c r="C497" s="4">
        <v>7719252088</v>
      </c>
      <c r="D497" s="15">
        <v>42.231055940000005</v>
      </c>
      <c r="E497" s="15">
        <v>6.043798685333333</v>
      </c>
      <c r="F497" s="15">
        <v>36.18725725466667</v>
      </c>
    </row>
    <row r="498" spans="1:6" ht="11.25">
      <c r="A498" s="4">
        <f t="shared" si="7"/>
        <v>496</v>
      </c>
      <c r="B498" s="4" t="s">
        <v>1249</v>
      </c>
      <c r="C498" s="4">
        <v>7703500923</v>
      </c>
      <c r="D498" s="15">
        <v>36.00063484766667</v>
      </c>
      <c r="E498" s="15">
        <v>0</v>
      </c>
      <c r="F498" s="15">
        <v>36.00063484766667</v>
      </c>
    </row>
    <row r="499" spans="1:6" ht="11.25">
      <c r="A499" s="4">
        <f t="shared" si="7"/>
        <v>497</v>
      </c>
      <c r="B499" s="4" t="s">
        <v>1250</v>
      </c>
      <c r="C499" s="4">
        <v>7701163937</v>
      </c>
      <c r="D499" s="15">
        <v>36.053053733333336</v>
      </c>
      <c r="E499" s="15">
        <v>0.06968345766666667</v>
      </c>
      <c r="F499" s="15">
        <v>35.98337027566667</v>
      </c>
    </row>
    <row r="500" spans="1:6" ht="11.25">
      <c r="A500" s="4">
        <f t="shared" si="7"/>
        <v>498</v>
      </c>
      <c r="B500" s="4" t="s">
        <v>1251</v>
      </c>
      <c r="C500" s="4">
        <v>7715510926</v>
      </c>
      <c r="D500" s="15">
        <v>37.14971854466666</v>
      </c>
      <c r="E500" s="15">
        <v>1.257395055</v>
      </c>
      <c r="F500" s="15">
        <v>35.892323489666666</v>
      </c>
    </row>
    <row r="501" spans="1:6" ht="11.25">
      <c r="A501" s="4">
        <f t="shared" si="7"/>
        <v>499</v>
      </c>
      <c r="B501" s="4" t="s">
        <v>1252</v>
      </c>
      <c r="C501" s="4">
        <v>7708209637</v>
      </c>
      <c r="D501" s="15">
        <v>35.867719849333334</v>
      </c>
      <c r="E501" s="15">
        <v>0.06233333333333333</v>
      </c>
      <c r="F501" s="15">
        <v>35.805386516</v>
      </c>
    </row>
    <row r="502" spans="1:6" ht="11.25">
      <c r="A502" s="4">
        <f>A501+1</f>
        <v>500</v>
      </c>
      <c r="B502" s="4" t="s">
        <v>1253</v>
      </c>
      <c r="C502" s="4">
        <v>7736209156</v>
      </c>
      <c r="D502" s="15">
        <v>35.935224240000004</v>
      </c>
      <c r="E502" s="15">
        <v>0.130064342</v>
      </c>
      <c r="F502" s="15">
        <v>35.80515989800001</v>
      </c>
    </row>
  </sheetData>
  <printOptions/>
  <pageMargins left="0.75" right="0.75" top="1" bottom="1" header="0.5" footer="0.5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5"/>
  <dimension ref="A2:A23"/>
  <sheetViews>
    <sheetView workbookViewId="0" topLeftCell="A1">
      <selection activeCell="H21" sqref="H21"/>
    </sheetView>
  </sheetViews>
  <sheetFormatPr defaultColWidth="9.00390625" defaultRowHeight="12.75"/>
  <sheetData>
    <row r="2" ht="12">
      <c r="A2" t="s">
        <v>1641</v>
      </c>
    </row>
    <row r="3" ht="12">
      <c r="A3" t="s">
        <v>1640</v>
      </c>
    </row>
    <row r="4" ht="12">
      <c r="A4" t="s">
        <v>1692</v>
      </c>
    </row>
    <row r="5" ht="12">
      <c r="A5" t="s">
        <v>1693</v>
      </c>
    </row>
    <row r="6" ht="12">
      <c r="A6" t="s">
        <v>1694</v>
      </c>
    </row>
    <row r="7" ht="12">
      <c r="A7" t="s">
        <v>1695</v>
      </c>
    </row>
    <row r="8" ht="12">
      <c r="A8" t="s">
        <v>1696</v>
      </c>
    </row>
    <row r="10" ht="12">
      <c r="A10" t="s">
        <v>1697</v>
      </c>
    </row>
    <row r="15" ht="12">
      <c r="A15" t="s">
        <v>1639</v>
      </c>
    </row>
    <row r="16" ht="12">
      <c r="A16" t="s">
        <v>1640</v>
      </c>
    </row>
    <row r="17" ht="12">
      <c r="A17" t="s">
        <v>1642</v>
      </c>
    </row>
    <row r="19" ht="12">
      <c r="A19" t="s">
        <v>1639</v>
      </c>
    </row>
    <row r="20" ht="12">
      <c r="A20" t="s">
        <v>1640</v>
      </c>
    </row>
    <row r="21" ht="12">
      <c r="A21" t="s">
        <v>1643</v>
      </c>
    </row>
    <row r="22" ht="12">
      <c r="A22" t="s">
        <v>1644</v>
      </c>
    </row>
    <row r="23" ht="12">
      <c r="A23" t="s">
        <v>1645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S84"/>
  <sheetViews>
    <sheetView workbookViewId="0" topLeftCell="A6">
      <selection activeCell="F15" sqref="F15"/>
    </sheetView>
  </sheetViews>
  <sheetFormatPr defaultColWidth="9.00390625" defaultRowHeight="12.75"/>
  <cols>
    <col min="1" max="1" width="30.875" style="0" customWidth="1"/>
    <col min="2" max="3" width="10.50390625" style="0" customWidth="1"/>
    <col min="4" max="5" width="11.125" style="0" customWidth="1"/>
    <col min="6" max="7" width="13.625" style="0" customWidth="1"/>
    <col min="8" max="9" width="11.875" style="0" customWidth="1"/>
    <col min="10" max="10" width="11.00390625" style="0" customWidth="1"/>
    <col min="11" max="11" width="10.875" style="0" customWidth="1"/>
    <col min="13" max="13" width="13.125" style="0" customWidth="1"/>
    <col min="14" max="14" width="7.125" style="0" customWidth="1"/>
    <col min="15" max="15" width="10.125" style="0" customWidth="1"/>
    <col min="16" max="16" width="10.375" style="0" customWidth="1"/>
    <col min="17" max="17" width="10.50390625" style="0" customWidth="1"/>
    <col min="18" max="18" width="6.625" style="0" customWidth="1"/>
    <col min="19" max="19" width="6.125" style="0" customWidth="1"/>
  </cols>
  <sheetData>
    <row r="1" spans="1:6" ht="12">
      <c r="A1" t="s">
        <v>1698</v>
      </c>
      <c r="B1">
        <v>3</v>
      </c>
      <c r="C1" t="s">
        <v>1699</v>
      </c>
      <c r="D1">
        <v>4</v>
      </c>
      <c r="F1">
        <v>4</v>
      </c>
    </row>
    <row r="2" spans="1:2" ht="12">
      <c r="A2" t="s">
        <v>1700</v>
      </c>
      <c r="B2">
        <v>13</v>
      </c>
    </row>
    <row r="3" spans="1:2" ht="12">
      <c r="A3" t="s">
        <v>1701</v>
      </c>
      <c r="B3">
        <v>2</v>
      </c>
    </row>
    <row r="5" spans="1:19" ht="12">
      <c r="A5" t="s">
        <v>1147</v>
      </c>
      <c r="M5" s="37" t="s">
        <v>1646</v>
      </c>
      <c r="N5" s="29"/>
      <c r="O5" s="29"/>
      <c r="P5" s="29"/>
      <c r="Q5" s="29"/>
      <c r="R5" s="29"/>
      <c r="S5" s="29"/>
    </row>
    <row r="6" spans="2:19" ht="24.75">
      <c r="B6" s="1" t="s">
        <v>1610</v>
      </c>
      <c r="D6" s="1" t="s">
        <v>1638</v>
      </c>
      <c r="E6" s="1"/>
      <c r="F6" s="1" t="s">
        <v>1414</v>
      </c>
      <c r="G6" s="1"/>
      <c r="H6" s="1" t="s">
        <v>116</v>
      </c>
      <c r="I6" s="1"/>
      <c r="M6" s="19"/>
      <c r="N6" s="39"/>
      <c r="O6" s="39"/>
      <c r="P6" s="39"/>
      <c r="Q6" s="39"/>
      <c r="R6" s="39"/>
      <c r="S6" s="39"/>
    </row>
    <row r="7" spans="2:19" ht="12">
      <c r="B7" s="1" t="s">
        <v>1413</v>
      </c>
      <c r="D7" s="1" t="s">
        <v>1413</v>
      </c>
      <c r="E7" s="1"/>
      <c r="F7" s="1" t="s">
        <v>1413</v>
      </c>
      <c r="G7" s="1"/>
      <c r="H7" s="1" t="s">
        <v>117</v>
      </c>
      <c r="I7" s="1"/>
      <c r="M7" s="19"/>
      <c r="N7" s="39"/>
      <c r="O7" s="39"/>
      <c r="P7" s="39"/>
      <c r="Q7" s="39"/>
      <c r="R7" s="39"/>
      <c r="S7" s="39"/>
    </row>
    <row r="8" spans="1:19" ht="12">
      <c r="A8" t="s">
        <v>1176</v>
      </c>
      <c r="B8" s="14" t="s">
        <v>668</v>
      </c>
      <c r="D8" s="14" t="s">
        <v>669</v>
      </c>
      <c r="F8" s="14" t="s">
        <v>1264</v>
      </c>
      <c r="H8" s="14" t="s">
        <v>1265</v>
      </c>
      <c r="M8" s="19"/>
      <c r="N8" s="39"/>
      <c r="O8" s="39"/>
      <c r="P8" s="39"/>
      <c r="Q8" s="39"/>
      <c r="R8" s="39"/>
      <c r="S8" s="39"/>
    </row>
    <row r="9" spans="1:19" ht="12">
      <c r="A9" s="18" t="s">
        <v>320</v>
      </c>
      <c r="B9" s="20">
        <f aca="true" t="shared" si="0" ref="B9:I9">B25/30/10^6</f>
        <v>1701</v>
      </c>
      <c r="C9" s="20">
        <f t="shared" si="0"/>
        <v>7400</v>
      </c>
      <c r="D9" s="20">
        <f t="shared" si="0"/>
        <v>589</v>
      </c>
      <c r="E9" s="20">
        <f t="shared" si="0"/>
        <v>2241</v>
      </c>
      <c r="F9" s="20">
        <f t="shared" si="0"/>
        <v>4810</v>
      </c>
      <c r="G9" s="20">
        <f t="shared" si="0"/>
        <v>13496.666666666666</v>
      </c>
      <c r="H9" s="20">
        <f t="shared" si="0"/>
        <v>6850</v>
      </c>
      <c r="I9" s="20">
        <f t="shared" si="0"/>
        <v>16476.666666666664</v>
      </c>
      <c r="J9" s="20">
        <v>0</v>
      </c>
      <c r="K9" s="20"/>
      <c r="M9" s="19" t="s">
        <v>1634</v>
      </c>
      <c r="N9" s="43">
        <f>B9</f>
        <v>1701</v>
      </c>
      <c r="O9" s="43">
        <f>D9</f>
        <v>589</v>
      </c>
      <c r="P9" s="43">
        <f>F9</f>
        <v>4810</v>
      </c>
      <c r="Q9" s="43">
        <f>H9</f>
        <v>6850</v>
      </c>
      <c r="R9" s="35"/>
      <c r="S9" s="35"/>
    </row>
    <row r="10" spans="1:19" ht="12">
      <c r="A10" s="18" t="s">
        <v>321</v>
      </c>
      <c r="B10" s="20">
        <f aca="true" t="shared" si="1" ref="B10:I10">B26/30/10^6</f>
        <v>875.3333333333334</v>
      </c>
      <c r="C10" s="20">
        <f t="shared" si="1"/>
        <v>2776</v>
      </c>
      <c r="D10" s="20">
        <f t="shared" si="1"/>
        <v>323.43333333333334</v>
      </c>
      <c r="E10" s="20">
        <f t="shared" si="1"/>
        <v>822</v>
      </c>
      <c r="F10" s="20">
        <f t="shared" si="1"/>
        <v>2405</v>
      </c>
      <c r="G10" s="20">
        <f t="shared" si="1"/>
        <v>4920</v>
      </c>
      <c r="H10" s="20">
        <f t="shared" si="1"/>
        <v>3860</v>
      </c>
      <c r="I10" s="20">
        <f t="shared" si="1"/>
        <v>7116.666666666667</v>
      </c>
      <c r="J10" s="20">
        <v>0</v>
      </c>
      <c r="K10" s="20"/>
      <c r="M10" s="19" t="s">
        <v>1635</v>
      </c>
      <c r="N10" s="43">
        <f>B10</f>
        <v>875.3333333333334</v>
      </c>
      <c r="O10" s="43">
        <f>D10</f>
        <v>323.43333333333334</v>
      </c>
      <c r="P10" s="43">
        <f>F10</f>
        <v>2405</v>
      </c>
      <c r="Q10" s="43">
        <f>H10</f>
        <v>3860</v>
      </c>
      <c r="R10" s="35"/>
      <c r="S10" s="35"/>
    </row>
    <row r="11" spans="1:19" ht="12">
      <c r="A11" t="s">
        <v>322</v>
      </c>
      <c r="B11" s="20">
        <f aca="true" t="shared" si="2" ref="B11:I11">B27/30/10^6</f>
        <v>192.33333333333334</v>
      </c>
      <c r="C11" s="20">
        <f t="shared" si="2"/>
        <v>693.6666666666666</v>
      </c>
      <c r="D11" s="20">
        <f t="shared" si="2"/>
        <v>66.26666666666667</v>
      </c>
      <c r="E11" s="20">
        <f t="shared" si="2"/>
        <v>320.9666666666667</v>
      </c>
      <c r="F11" s="20">
        <f t="shared" si="2"/>
        <v>542</v>
      </c>
      <c r="G11" s="20">
        <f t="shared" si="2"/>
        <v>1172</v>
      </c>
      <c r="H11" s="20">
        <f t="shared" si="2"/>
        <v>823.6666666666666</v>
      </c>
      <c r="I11" s="20">
        <f t="shared" si="2"/>
        <v>1705</v>
      </c>
      <c r="J11" s="20">
        <v>0</v>
      </c>
      <c r="K11" s="20"/>
      <c r="M11" s="19" t="s">
        <v>1636</v>
      </c>
      <c r="N11" s="43">
        <f>B11</f>
        <v>192.33333333333334</v>
      </c>
      <c r="O11" s="43">
        <f>D11</f>
        <v>66.26666666666667</v>
      </c>
      <c r="P11" s="43">
        <f>F11</f>
        <v>542</v>
      </c>
      <c r="Q11" s="43">
        <f>H11</f>
        <v>823.6666666666666</v>
      </c>
      <c r="R11" s="35"/>
      <c r="S11" s="35"/>
    </row>
    <row r="12" spans="1:19" ht="12">
      <c r="A12" t="s">
        <v>330</v>
      </c>
      <c r="B12" s="17">
        <f aca="true" t="shared" si="3" ref="B12:I13">B28*100</f>
        <v>21.901069</v>
      </c>
      <c r="C12" s="17">
        <f t="shared" si="3"/>
        <v>18.564385</v>
      </c>
      <c r="D12" s="17">
        <f t="shared" si="3"/>
        <v>21.658295</v>
      </c>
      <c r="E12" s="17">
        <f t="shared" si="3"/>
        <v>19.307961000000002</v>
      </c>
      <c r="F12" s="17">
        <f t="shared" si="3"/>
        <v>22.541639999999997</v>
      </c>
      <c r="G12" s="17">
        <f t="shared" si="3"/>
        <v>16.534799</v>
      </c>
      <c r="H12" s="17">
        <f t="shared" si="3"/>
        <v>19.225</v>
      </c>
      <c r="I12" s="17">
        <f t="shared" si="3"/>
        <v>15.501007</v>
      </c>
      <c r="J12" s="17">
        <v>2</v>
      </c>
      <c r="K12" s="17"/>
      <c r="M12" s="19" t="s">
        <v>1647</v>
      </c>
      <c r="N12" s="44">
        <f>B13/100</f>
        <v>0.12714622</v>
      </c>
      <c r="O12" s="44">
        <f>D13/100</f>
        <v>0.09621352</v>
      </c>
      <c r="P12" s="44">
        <f>F13/100</f>
        <v>0.2139</v>
      </c>
      <c r="Q12" s="44">
        <f>H13/100</f>
        <v>0.16447968</v>
      </c>
      <c r="R12" s="36"/>
      <c r="S12" s="36"/>
    </row>
    <row r="13" spans="1:19" ht="12">
      <c r="A13" t="s">
        <v>331</v>
      </c>
      <c r="B13" s="17">
        <f t="shared" si="3"/>
        <v>12.714622</v>
      </c>
      <c r="C13" s="17">
        <f t="shared" si="3"/>
        <v>16.392962</v>
      </c>
      <c r="D13" s="17">
        <f t="shared" si="3"/>
        <v>9.621352</v>
      </c>
      <c r="E13" s="17">
        <f t="shared" si="3"/>
        <v>14.59821</v>
      </c>
      <c r="F13" s="17">
        <f t="shared" si="3"/>
        <v>21.39</v>
      </c>
      <c r="G13" s="17">
        <f t="shared" si="3"/>
        <v>18.048054</v>
      </c>
      <c r="H13" s="17">
        <f t="shared" si="3"/>
        <v>16.447968</v>
      </c>
      <c r="I13" s="17">
        <f t="shared" si="3"/>
        <v>15.875479</v>
      </c>
      <c r="J13" s="17">
        <v>2</v>
      </c>
      <c r="K13" s="17"/>
      <c r="M13" s="19" t="s">
        <v>315</v>
      </c>
      <c r="N13" s="40">
        <f>B22</f>
        <v>180</v>
      </c>
      <c r="O13" s="40">
        <f>D22</f>
        <v>137</v>
      </c>
      <c r="P13" s="40">
        <f>F22</f>
        <v>49</v>
      </c>
      <c r="Q13" s="40">
        <f>H22</f>
        <v>49</v>
      </c>
      <c r="R13" s="36"/>
      <c r="S13" s="36"/>
    </row>
    <row r="14" spans="1:19" ht="12">
      <c r="A14" s="19" t="s">
        <v>971</v>
      </c>
      <c r="B14" s="17">
        <f aca="true" t="shared" si="4" ref="B14:G15">B30*100</f>
        <v>3.8583779999999996</v>
      </c>
      <c r="C14" s="17">
        <f t="shared" si="4"/>
        <v>10.411797</v>
      </c>
      <c r="D14" s="17">
        <f t="shared" si="4"/>
        <v>2.718864</v>
      </c>
      <c r="E14" s="17">
        <f t="shared" si="4"/>
        <v>6.853655</v>
      </c>
      <c r="F14" s="17">
        <f t="shared" si="4"/>
        <v>7.0697350000000005</v>
      </c>
      <c r="G14" s="17">
        <f t="shared" si="4"/>
        <v>16.429602</v>
      </c>
      <c r="H14" s="17"/>
      <c r="I14" s="17"/>
      <c r="J14" s="17">
        <v>2</v>
      </c>
      <c r="K14" s="17"/>
      <c r="M14" s="19" t="s">
        <v>332</v>
      </c>
      <c r="N14" s="45" t="e">
        <f>#REF!/100</f>
        <v>#REF!</v>
      </c>
      <c r="O14" s="45" t="e">
        <f>#REF!/100</f>
        <v>#REF!</v>
      </c>
      <c r="P14" s="45" t="e">
        <f>#REF!/100</f>
        <v>#REF!</v>
      </c>
      <c r="Q14" s="17"/>
      <c r="R14" s="17"/>
      <c r="S14" s="17"/>
    </row>
    <row r="15" spans="1:19" ht="12">
      <c r="A15" s="19" t="s">
        <v>972</v>
      </c>
      <c r="B15" s="17">
        <f t="shared" si="4"/>
        <v>37.313433</v>
      </c>
      <c r="C15" s="17"/>
      <c r="D15" s="17">
        <f t="shared" si="4"/>
        <v>35.62753</v>
      </c>
      <c r="E15" s="17"/>
      <c r="F15" s="17">
        <f t="shared" si="4"/>
        <v>42.045455</v>
      </c>
      <c r="G15" s="17"/>
      <c r="H15" s="17"/>
      <c r="I15" s="17"/>
      <c r="J15" s="17">
        <v>2</v>
      </c>
      <c r="K15" s="17"/>
      <c r="M15" s="19" t="s">
        <v>318</v>
      </c>
      <c r="N15" s="45" t="e">
        <f>#REF!/100</f>
        <v>#REF!</v>
      </c>
      <c r="O15" s="45" t="e">
        <f>#REF!/100</f>
        <v>#REF!</v>
      </c>
      <c r="P15" s="45" t="e">
        <f>#REF!/100</f>
        <v>#REF!</v>
      </c>
      <c r="Q15" s="17"/>
      <c r="R15" s="17"/>
      <c r="S15" s="17"/>
    </row>
    <row r="16" spans="1:19" ht="12">
      <c r="A16" s="19" t="s">
        <v>973</v>
      </c>
      <c r="B16" s="17">
        <f aca="true" t="shared" si="5" ref="B16:F21">B32*100</f>
        <v>18.75</v>
      </c>
      <c r="C16" s="17"/>
      <c r="D16" s="17">
        <f t="shared" si="5"/>
        <v>10.887096999999999</v>
      </c>
      <c r="E16" s="17"/>
      <c r="F16" s="17">
        <f t="shared" si="5"/>
        <v>40.909091</v>
      </c>
      <c r="G16" s="17"/>
      <c r="H16" s="17"/>
      <c r="I16" s="17"/>
      <c r="J16" s="17">
        <v>2</v>
      </c>
      <c r="K16" s="17"/>
      <c r="M16" s="19" t="s">
        <v>1516</v>
      </c>
      <c r="N16" s="45">
        <f>B18/100</f>
        <v>0.6577381</v>
      </c>
      <c r="O16" s="45">
        <f>D18/100</f>
        <v>0.61290323</v>
      </c>
      <c r="P16" s="45">
        <f>F18/100</f>
        <v>0.7840909100000001</v>
      </c>
      <c r="Q16" s="17"/>
      <c r="R16" s="17"/>
      <c r="S16" s="17"/>
    </row>
    <row r="17" spans="1:19" ht="12">
      <c r="A17" s="19" t="s">
        <v>974</v>
      </c>
      <c r="B17" s="17">
        <f t="shared" si="5"/>
        <v>13.988095000000001</v>
      </c>
      <c r="C17" s="17"/>
      <c r="D17" s="17">
        <f t="shared" si="5"/>
        <v>2.419355</v>
      </c>
      <c r="E17" s="17"/>
      <c r="F17" s="17">
        <f t="shared" si="5"/>
        <v>46.590909</v>
      </c>
      <c r="G17" s="17"/>
      <c r="H17" s="17"/>
      <c r="I17" s="17"/>
      <c r="J17" s="17">
        <v>2</v>
      </c>
      <c r="K17" s="17"/>
      <c r="M17" s="19" t="s">
        <v>328</v>
      </c>
      <c r="N17" s="45">
        <f>B19/100</f>
        <v>0.11309524</v>
      </c>
      <c r="O17" s="45">
        <f>D19/100</f>
        <v>0.04032258</v>
      </c>
      <c r="P17" s="45">
        <f>F19/100</f>
        <v>0.31818182</v>
      </c>
      <c r="Q17" s="17"/>
      <c r="R17" s="17"/>
      <c r="S17" s="17"/>
    </row>
    <row r="18" spans="1:19" ht="12">
      <c r="A18" s="19" t="s">
        <v>977</v>
      </c>
      <c r="B18" s="17">
        <f t="shared" si="5"/>
        <v>65.77381</v>
      </c>
      <c r="C18" s="17"/>
      <c r="D18" s="17">
        <f t="shared" si="5"/>
        <v>61.290323</v>
      </c>
      <c r="E18" s="17"/>
      <c r="F18" s="17">
        <f t="shared" si="5"/>
        <v>78.409091</v>
      </c>
      <c r="G18" s="17"/>
      <c r="H18" s="17"/>
      <c r="I18" s="17"/>
      <c r="J18" s="17">
        <v>2</v>
      </c>
      <c r="K18" s="17"/>
      <c r="M18" s="19" t="s">
        <v>329</v>
      </c>
      <c r="N18" s="45">
        <f>B20/100</f>
        <v>0.22619048</v>
      </c>
      <c r="O18" s="45">
        <f>D20/100</f>
        <v>0.13709677</v>
      </c>
      <c r="P18" s="45">
        <f>F20/100</f>
        <v>0.47727273</v>
      </c>
      <c r="Q18" s="17"/>
      <c r="R18" s="17"/>
      <c r="S18" s="17"/>
    </row>
    <row r="19" spans="1:19" ht="12">
      <c r="A19" s="19" t="s">
        <v>975</v>
      </c>
      <c r="B19" s="17">
        <f t="shared" si="5"/>
        <v>11.309524</v>
      </c>
      <c r="C19" s="17"/>
      <c r="D19" s="17">
        <f t="shared" si="5"/>
        <v>4.032258</v>
      </c>
      <c r="E19" s="17"/>
      <c r="F19" s="17">
        <f t="shared" si="5"/>
        <v>31.818182</v>
      </c>
      <c r="G19" s="17"/>
      <c r="H19" s="17"/>
      <c r="I19" s="17"/>
      <c r="J19" s="17">
        <v>2</v>
      </c>
      <c r="K19" s="17"/>
      <c r="M19" s="19" t="s">
        <v>1651</v>
      </c>
      <c r="N19" s="45">
        <f>B21/100</f>
        <v>0.7202381</v>
      </c>
      <c r="O19" s="45">
        <f>D21/100</f>
        <v>0.65322581</v>
      </c>
      <c r="P19" s="45">
        <f>F21/100</f>
        <v>0.9090909100000001</v>
      </c>
      <c r="Q19" s="17"/>
      <c r="R19" s="17"/>
      <c r="S19" s="17"/>
    </row>
    <row r="20" spans="1:19" ht="12">
      <c r="A20" s="19" t="s">
        <v>976</v>
      </c>
      <c r="B20" s="17">
        <f t="shared" si="5"/>
        <v>22.619048</v>
      </c>
      <c r="C20" s="17"/>
      <c r="D20" s="17">
        <f t="shared" si="5"/>
        <v>13.709677000000001</v>
      </c>
      <c r="E20" s="17"/>
      <c r="F20" s="17">
        <f t="shared" si="5"/>
        <v>47.727273</v>
      </c>
      <c r="G20" s="17"/>
      <c r="H20" s="17"/>
      <c r="I20" s="17"/>
      <c r="J20" s="17">
        <v>2</v>
      </c>
      <c r="K20" s="17"/>
      <c r="M20" t="s">
        <v>315</v>
      </c>
      <c r="N20" s="40">
        <f>B22</f>
        <v>180</v>
      </c>
      <c r="O20" s="40">
        <f>D22</f>
        <v>137</v>
      </c>
      <c r="P20" s="40">
        <f>F22</f>
        <v>49</v>
      </c>
      <c r="Q20" s="17"/>
      <c r="R20" s="17"/>
      <c r="S20" s="17"/>
    </row>
    <row r="21" spans="1:11" ht="12">
      <c r="A21" s="19" t="s">
        <v>1620</v>
      </c>
      <c r="B21" s="17">
        <f t="shared" si="5"/>
        <v>72.02381</v>
      </c>
      <c r="C21" s="17"/>
      <c r="D21" s="17">
        <f t="shared" si="5"/>
        <v>65.322581</v>
      </c>
      <c r="E21" s="17"/>
      <c r="F21" s="17">
        <f t="shared" si="5"/>
        <v>90.909091</v>
      </c>
      <c r="G21" s="17"/>
      <c r="H21" s="17"/>
      <c r="I21" s="17"/>
      <c r="J21" s="17">
        <v>2</v>
      </c>
      <c r="K21" s="17"/>
    </row>
    <row r="22" spans="1:16" ht="12">
      <c r="A22" t="s">
        <v>967</v>
      </c>
      <c r="B22">
        <f>B44</f>
        <v>180</v>
      </c>
      <c r="D22">
        <f>D44</f>
        <v>137</v>
      </c>
      <c r="F22">
        <f>F44</f>
        <v>49</v>
      </c>
      <c r="H22">
        <f>H44</f>
        <v>49</v>
      </c>
      <c r="J22" s="17">
        <v>0</v>
      </c>
      <c r="M22" s="38" t="s">
        <v>1631</v>
      </c>
      <c r="N22" s="19"/>
      <c r="O22" s="19"/>
      <c r="P22" s="19"/>
    </row>
    <row r="23" spans="1:19" ht="12">
      <c r="A23" s="19" t="s">
        <v>315</v>
      </c>
      <c r="B23">
        <f>B39</f>
        <v>336</v>
      </c>
      <c r="D23">
        <f>D39</f>
        <v>248</v>
      </c>
      <c r="E23" s="17"/>
      <c r="F23">
        <f>F39</f>
        <v>88</v>
      </c>
      <c r="G23" s="17"/>
      <c r="H23">
        <f>H39</f>
        <v>88</v>
      </c>
      <c r="J23" s="17">
        <v>0</v>
      </c>
      <c r="M23" s="19"/>
      <c r="N23" s="39"/>
      <c r="O23" s="39"/>
      <c r="P23" s="34"/>
      <c r="Q23" s="19"/>
      <c r="R23" s="19"/>
      <c r="S23" s="19"/>
    </row>
    <row r="24" spans="2:19" ht="24.75">
      <c r="B24" t="s">
        <v>1154</v>
      </c>
      <c r="C24" t="s">
        <v>1155</v>
      </c>
      <c r="D24" t="s">
        <v>1156</v>
      </c>
      <c r="E24" t="s">
        <v>1157</v>
      </c>
      <c r="F24" t="s">
        <v>1377</v>
      </c>
      <c r="G24" t="s">
        <v>1378</v>
      </c>
      <c r="H24" t="s">
        <v>1379</v>
      </c>
      <c r="I24" t="s">
        <v>1380</v>
      </c>
      <c r="M24" s="19"/>
      <c r="N24" s="42" t="s">
        <v>1621</v>
      </c>
      <c r="O24" s="42" t="s">
        <v>1652</v>
      </c>
      <c r="P24" s="42" t="s">
        <v>1653</v>
      </c>
      <c r="Q24" s="42" t="s">
        <v>1654</v>
      </c>
      <c r="R24" s="39"/>
      <c r="S24" s="39"/>
    </row>
    <row r="25" spans="1:19" ht="12">
      <c r="A25" t="s">
        <v>1158</v>
      </c>
      <c r="B25" s="11">
        <v>51030000000</v>
      </c>
      <c r="C25" s="11">
        <v>222000000000</v>
      </c>
      <c r="D25" s="11">
        <v>17670000000</v>
      </c>
      <c r="E25" s="11">
        <v>67230000000</v>
      </c>
      <c r="F25" s="11">
        <v>144300000000</v>
      </c>
      <c r="G25" s="11">
        <v>404900000000</v>
      </c>
      <c r="H25" s="11">
        <v>205500000000</v>
      </c>
      <c r="I25" s="11">
        <v>494300000000</v>
      </c>
      <c r="J25" s="11"/>
      <c r="K25" s="11"/>
      <c r="M25" s="19" t="s">
        <v>1664</v>
      </c>
      <c r="N25" s="48" t="e">
        <f>#REF!/100</f>
        <v>#REF!</v>
      </c>
      <c r="O25" s="48" t="e">
        <f>#REF!/100</f>
        <v>#REF!</v>
      </c>
      <c r="P25" s="48" t="e">
        <f>#REF!/100</f>
        <v>#REF!</v>
      </c>
      <c r="Q25" s="48" t="e">
        <f>#REF!/100</f>
        <v>#REF!</v>
      </c>
      <c r="R25" s="19"/>
      <c r="S25" s="19"/>
    </row>
    <row r="26" spans="1:19" ht="12">
      <c r="A26" t="s">
        <v>1159</v>
      </c>
      <c r="B26" s="11">
        <v>26260000000</v>
      </c>
      <c r="C26" s="11">
        <v>83280000000</v>
      </c>
      <c r="D26" s="11">
        <v>9703000000</v>
      </c>
      <c r="E26" s="11">
        <v>24660000000</v>
      </c>
      <c r="F26" s="11">
        <v>72150000000</v>
      </c>
      <c r="G26" s="11">
        <v>147600000000</v>
      </c>
      <c r="H26" s="11">
        <v>115800000000</v>
      </c>
      <c r="I26" s="11">
        <v>213500000000</v>
      </c>
      <c r="J26" s="11"/>
      <c r="K26" s="11"/>
      <c r="M26" s="19" t="s">
        <v>1665</v>
      </c>
      <c r="N26" s="48" t="e">
        <f>#REF!/100</f>
        <v>#REF!</v>
      </c>
      <c r="O26" s="48" t="e">
        <f>#REF!/100</f>
        <v>#REF!</v>
      </c>
      <c r="P26" s="48" t="e">
        <f>#REF!/100</f>
        <v>#REF!</v>
      </c>
      <c r="Q26" s="48" t="e">
        <f>#REF!/100</f>
        <v>#REF!</v>
      </c>
      <c r="R26" s="36"/>
      <c r="S26" s="36"/>
    </row>
    <row r="27" spans="1:19" ht="12">
      <c r="A27" t="s">
        <v>1160</v>
      </c>
      <c r="B27" s="11">
        <v>5770000000</v>
      </c>
      <c r="C27" s="11">
        <v>20810000000</v>
      </c>
      <c r="D27" s="11">
        <v>1988000000</v>
      </c>
      <c r="E27" s="11">
        <v>9629000000</v>
      </c>
      <c r="F27" s="11">
        <v>16260000000</v>
      </c>
      <c r="G27" s="11">
        <v>35160000000</v>
      </c>
      <c r="H27" s="11">
        <v>24710000000</v>
      </c>
      <c r="I27" s="11">
        <v>51150000000</v>
      </c>
      <c r="J27" s="11"/>
      <c r="K27" s="11"/>
      <c r="M27" s="19" t="s">
        <v>1666</v>
      </c>
      <c r="N27" s="48" t="e">
        <f>#REF!/100</f>
        <v>#REF!</v>
      </c>
      <c r="O27" s="48" t="e">
        <f>#REF!/100</f>
        <v>#REF!</v>
      </c>
      <c r="P27" s="48" t="e">
        <f>#REF!/100</f>
        <v>#REF!</v>
      </c>
      <c r="Q27" s="48" t="e">
        <f>#REF!/100</f>
        <v>#REF!</v>
      </c>
      <c r="R27" s="36"/>
      <c r="S27" s="36"/>
    </row>
    <row r="28" spans="1:19" ht="12">
      <c r="A28" t="s">
        <v>1161</v>
      </c>
      <c r="B28">
        <v>0.21901069</v>
      </c>
      <c r="C28">
        <v>0.18564385</v>
      </c>
      <c r="D28">
        <v>0.21658295</v>
      </c>
      <c r="E28">
        <v>0.19307961</v>
      </c>
      <c r="F28">
        <v>0.2254164</v>
      </c>
      <c r="G28">
        <v>0.16534799</v>
      </c>
      <c r="H28">
        <v>0.19225</v>
      </c>
      <c r="I28">
        <v>0.15501007</v>
      </c>
      <c r="M28" s="19" t="s">
        <v>315</v>
      </c>
      <c r="N28" s="19">
        <f>B22</f>
        <v>180</v>
      </c>
      <c r="O28" s="19">
        <f>D22</f>
        <v>137</v>
      </c>
      <c r="P28" s="19">
        <f>F22</f>
        <v>49</v>
      </c>
      <c r="Q28" s="19">
        <f>H22</f>
        <v>49</v>
      </c>
      <c r="R28" s="36"/>
      <c r="S28" s="36"/>
    </row>
    <row r="29" spans="1:19" ht="12">
      <c r="A29" t="s">
        <v>1162</v>
      </c>
      <c r="B29">
        <v>0.12714622</v>
      </c>
      <c r="C29">
        <v>0.16392962</v>
      </c>
      <c r="D29">
        <v>0.09621352</v>
      </c>
      <c r="E29">
        <v>0.1459821</v>
      </c>
      <c r="F29">
        <v>0.2139</v>
      </c>
      <c r="G29">
        <v>0.18048054</v>
      </c>
      <c r="H29">
        <v>0.16447968</v>
      </c>
      <c r="I29">
        <v>0.15875479</v>
      </c>
      <c r="Q29" s="19"/>
      <c r="R29" s="19"/>
      <c r="S29" s="19"/>
    </row>
    <row r="30" spans="1:9" ht="12">
      <c r="A30" t="s">
        <v>1163</v>
      </c>
      <c r="B30">
        <v>0.03858378</v>
      </c>
      <c r="C30">
        <v>0.10411797</v>
      </c>
      <c r="D30">
        <v>0.02718864</v>
      </c>
      <c r="E30">
        <v>0.06853655</v>
      </c>
      <c r="F30">
        <v>0.07069735</v>
      </c>
      <c r="G30">
        <v>0.16429602</v>
      </c>
      <c r="H30">
        <v>0</v>
      </c>
      <c r="I30">
        <v>0</v>
      </c>
    </row>
    <row r="31" spans="1:9" ht="12">
      <c r="A31" t="s">
        <v>1164</v>
      </c>
      <c r="B31">
        <v>0.37313433</v>
      </c>
      <c r="C31">
        <v>0.48436083</v>
      </c>
      <c r="D31">
        <v>0.3562753</v>
      </c>
      <c r="E31">
        <v>0.4798703</v>
      </c>
      <c r="F31">
        <v>0.42045455</v>
      </c>
      <c r="G31">
        <v>0.49646083</v>
      </c>
      <c r="H31">
        <v>0</v>
      </c>
      <c r="I31">
        <v>0</v>
      </c>
    </row>
    <row r="32" spans="1:9" ht="12">
      <c r="A32" t="s">
        <v>1165</v>
      </c>
      <c r="B32">
        <v>0.1875</v>
      </c>
      <c r="C32">
        <v>0.3908945</v>
      </c>
      <c r="D32">
        <v>0.10887097</v>
      </c>
      <c r="E32">
        <v>0.31210714</v>
      </c>
      <c r="F32">
        <v>0.40909091</v>
      </c>
      <c r="G32">
        <v>0.49448368</v>
      </c>
      <c r="H32">
        <v>0</v>
      </c>
      <c r="I32">
        <v>0</v>
      </c>
    </row>
    <row r="33" spans="1:9" ht="12">
      <c r="A33" t="s">
        <v>1166</v>
      </c>
      <c r="B33">
        <v>0.13988095</v>
      </c>
      <c r="C33">
        <v>0.3473808</v>
      </c>
      <c r="D33">
        <v>0.02419355</v>
      </c>
      <c r="E33">
        <v>0.15396039</v>
      </c>
      <c r="F33">
        <v>0.46590909</v>
      </c>
      <c r="G33">
        <v>0.50169514</v>
      </c>
      <c r="H33">
        <v>0</v>
      </c>
      <c r="I33">
        <v>0</v>
      </c>
    </row>
    <row r="34" spans="1:9" ht="12">
      <c r="A34" t="s">
        <v>1167</v>
      </c>
      <c r="B34">
        <v>0.6577381</v>
      </c>
      <c r="C34">
        <v>0.47517438</v>
      </c>
      <c r="D34">
        <v>0.61290323</v>
      </c>
      <c r="E34">
        <v>0.4880711</v>
      </c>
      <c r="F34">
        <v>0.78409091</v>
      </c>
      <c r="G34">
        <v>0.41380943</v>
      </c>
      <c r="H34">
        <v>0</v>
      </c>
      <c r="I34">
        <v>0</v>
      </c>
    </row>
    <row r="35" spans="1:9" ht="12">
      <c r="A35" t="s">
        <v>1168</v>
      </c>
      <c r="B35">
        <v>0.11309524</v>
      </c>
      <c r="C35">
        <v>0.31718153</v>
      </c>
      <c r="D35">
        <v>0.04032258</v>
      </c>
      <c r="E35">
        <v>0.1971125</v>
      </c>
      <c r="F35">
        <v>0.31818182</v>
      </c>
      <c r="G35">
        <v>0.46843968</v>
      </c>
      <c r="H35">
        <v>0</v>
      </c>
      <c r="I35">
        <v>0</v>
      </c>
    </row>
    <row r="36" spans="1:9" ht="12">
      <c r="A36" t="s">
        <v>1169</v>
      </c>
      <c r="B36">
        <v>0.22619048</v>
      </c>
      <c r="C36">
        <v>0.41898785</v>
      </c>
      <c r="D36">
        <v>0.13709677</v>
      </c>
      <c r="E36">
        <v>0.34464504</v>
      </c>
      <c r="F36">
        <v>0.47727273</v>
      </c>
      <c r="G36">
        <v>0.5023456</v>
      </c>
      <c r="H36">
        <v>0</v>
      </c>
      <c r="I36">
        <v>0</v>
      </c>
    </row>
    <row r="37" spans="1:9" ht="12">
      <c r="A37" t="s">
        <v>1170</v>
      </c>
      <c r="B37">
        <v>0.7202381</v>
      </c>
      <c r="C37">
        <v>0.44955162</v>
      </c>
      <c r="D37">
        <v>0.65322581</v>
      </c>
      <c r="E37">
        <v>0.47690559</v>
      </c>
      <c r="F37">
        <v>0.90909091</v>
      </c>
      <c r="G37">
        <v>0.28912725</v>
      </c>
      <c r="H37">
        <v>0</v>
      </c>
      <c r="I37">
        <v>0</v>
      </c>
    </row>
    <row r="38" spans="1:9" ht="12">
      <c r="A38" t="s">
        <v>1171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9" ht="12">
      <c r="A39" t="s">
        <v>1172</v>
      </c>
      <c r="B39">
        <v>336</v>
      </c>
      <c r="C39">
        <v>0</v>
      </c>
      <c r="D39">
        <v>248</v>
      </c>
      <c r="E39">
        <v>0</v>
      </c>
      <c r="F39">
        <v>88</v>
      </c>
      <c r="G39">
        <v>0</v>
      </c>
      <c r="H39">
        <v>88</v>
      </c>
      <c r="I39">
        <v>0</v>
      </c>
    </row>
    <row r="41" spans="1:8" ht="12">
      <c r="A41" t="s">
        <v>1174</v>
      </c>
      <c r="B41">
        <v>0.10555556</v>
      </c>
      <c r="D41">
        <v>0.04379562</v>
      </c>
      <c r="F41">
        <v>0.31632653</v>
      </c>
      <c r="H41">
        <v>0</v>
      </c>
    </row>
    <row r="42" spans="1:8" ht="12">
      <c r="A42" t="s">
        <v>1175</v>
      </c>
      <c r="B42">
        <v>0.21666667</v>
      </c>
      <c r="D42">
        <v>0.1350365</v>
      </c>
      <c r="F42">
        <v>0.44897959</v>
      </c>
      <c r="H42">
        <v>0</v>
      </c>
    </row>
    <row r="43" spans="1:8" ht="12">
      <c r="A43" t="s">
        <v>1254</v>
      </c>
      <c r="B43">
        <v>0.69444444</v>
      </c>
      <c r="D43">
        <v>0.63138686</v>
      </c>
      <c r="F43">
        <v>0.90816327</v>
      </c>
      <c r="H43">
        <v>0</v>
      </c>
    </row>
    <row r="44" spans="1:8" ht="12">
      <c r="A44" t="s">
        <v>1582</v>
      </c>
      <c r="B44">
        <v>180</v>
      </c>
      <c r="D44">
        <v>137</v>
      </c>
      <c r="F44">
        <v>49</v>
      </c>
      <c r="H44">
        <v>49</v>
      </c>
    </row>
    <row r="47" spans="2:8" ht="12">
      <c r="B47">
        <v>180</v>
      </c>
      <c r="D47">
        <v>137</v>
      </c>
      <c r="F47">
        <v>49</v>
      </c>
      <c r="H47">
        <v>49</v>
      </c>
    </row>
    <row r="55" ht="12">
      <c r="A55" t="s">
        <v>1415</v>
      </c>
    </row>
    <row r="56" ht="12">
      <c r="A56" t="s">
        <v>1703</v>
      </c>
    </row>
    <row r="57" ht="12">
      <c r="A57" t="s">
        <v>1416</v>
      </c>
    </row>
    <row r="58" ht="12">
      <c r="A58" t="s">
        <v>1417</v>
      </c>
    </row>
    <row r="59" ht="12">
      <c r="A59" t="s">
        <v>1418</v>
      </c>
    </row>
    <row r="60" ht="12">
      <c r="A60" t="s">
        <v>1706</v>
      </c>
    </row>
    <row r="61" ht="12">
      <c r="A61" t="s">
        <v>1436</v>
      </c>
    </row>
    <row r="62" ht="12">
      <c r="A62" t="s">
        <v>1437</v>
      </c>
    </row>
    <row r="63" ht="12">
      <c r="A63" t="s">
        <v>1438</v>
      </c>
    </row>
    <row r="64" ht="12">
      <c r="A64" t="s">
        <v>1439</v>
      </c>
    </row>
    <row r="65" ht="12">
      <c r="A65" t="s">
        <v>1419</v>
      </c>
    </row>
    <row r="66" ht="12">
      <c r="A66" t="s">
        <v>1440</v>
      </c>
    </row>
    <row r="67" ht="12">
      <c r="A67" t="s">
        <v>1420</v>
      </c>
    </row>
    <row r="68" ht="12">
      <c r="A68" t="s">
        <v>1441</v>
      </c>
    </row>
    <row r="69" ht="12">
      <c r="A69" t="s">
        <v>1421</v>
      </c>
    </row>
    <row r="70" ht="12">
      <c r="A70" t="s">
        <v>1442</v>
      </c>
    </row>
    <row r="71" ht="12">
      <c r="A71" t="s">
        <v>1422</v>
      </c>
    </row>
    <row r="72" ht="12">
      <c r="A72" t="s">
        <v>1423</v>
      </c>
    </row>
    <row r="73" ht="12">
      <c r="A73" t="s">
        <v>1443</v>
      </c>
    </row>
    <row r="74" ht="12">
      <c r="A74" t="s">
        <v>1424</v>
      </c>
    </row>
    <row r="75" ht="12">
      <c r="A75" t="s">
        <v>1425</v>
      </c>
    </row>
    <row r="76" ht="12">
      <c r="A76" t="s">
        <v>1426</v>
      </c>
    </row>
    <row r="77" ht="12">
      <c r="A77" t="s">
        <v>1427</v>
      </c>
    </row>
    <row r="78" ht="12">
      <c r="A78" t="s">
        <v>1428</v>
      </c>
    </row>
    <row r="79" ht="12">
      <c r="A79" t="s">
        <v>1429</v>
      </c>
    </row>
    <row r="80" ht="12">
      <c r="A80" t="s">
        <v>1706</v>
      </c>
    </row>
    <row r="81" ht="12">
      <c r="A81" t="s">
        <v>1430</v>
      </c>
    </row>
    <row r="82" ht="12">
      <c r="A82" t="s">
        <v>1431</v>
      </c>
    </row>
    <row r="83" ht="12">
      <c r="A83" t="s">
        <v>66</v>
      </c>
    </row>
    <row r="84" ht="12">
      <c r="A84" t="s">
        <v>67</v>
      </c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30"/>
  <dimension ref="A1:A25"/>
  <sheetViews>
    <sheetView workbookViewId="0" topLeftCell="A1">
      <selection activeCell="A5" sqref="A5"/>
    </sheetView>
  </sheetViews>
  <sheetFormatPr defaultColWidth="9.00390625" defaultRowHeight="12.75"/>
  <sheetData>
    <row r="1" ht="12">
      <c r="A1" t="s">
        <v>490</v>
      </c>
    </row>
    <row r="2" ht="12">
      <c r="A2" t="s">
        <v>469</v>
      </c>
    </row>
    <row r="3" ht="12">
      <c r="A3" t="s">
        <v>470</v>
      </c>
    </row>
    <row r="4" ht="12">
      <c r="A4" t="s">
        <v>471</v>
      </c>
    </row>
    <row r="5" ht="12">
      <c r="A5" t="s">
        <v>472</v>
      </c>
    </row>
    <row r="6" ht="12">
      <c r="A6" t="s">
        <v>473</v>
      </c>
    </row>
    <row r="7" ht="12">
      <c r="A7" t="s">
        <v>474</v>
      </c>
    </row>
    <row r="8" ht="12">
      <c r="A8" t="s">
        <v>475</v>
      </c>
    </row>
    <row r="9" ht="12">
      <c r="A9" t="s">
        <v>470</v>
      </c>
    </row>
    <row r="10" ht="12">
      <c r="A10" t="s">
        <v>476</v>
      </c>
    </row>
    <row r="11" ht="12">
      <c r="A11" t="s">
        <v>477</v>
      </c>
    </row>
    <row r="12" ht="12">
      <c r="A12" t="s">
        <v>478</v>
      </c>
    </row>
    <row r="13" ht="12">
      <c r="A13" t="s">
        <v>479</v>
      </c>
    </row>
    <row r="14" ht="12">
      <c r="A14" t="s">
        <v>480</v>
      </c>
    </row>
    <row r="15" ht="12">
      <c r="A15" t="s">
        <v>470</v>
      </c>
    </row>
    <row r="16" ht="12">
      <c r="A16" t="s">
        <v>481</v>
      </c>
    </row>
    <row r="17" ht="12">
      <c r="A17" t="s">
        <v>482</v>
      </c>
    </row>
    <row r="18" ht="12">
      <c r="A18" t="s">
        <v>483</v>
      </c>
    </row>
    <row r="19" ht="12">
      <c r="A19" t="s">
        <v>484</v>
      </c>
    </row>
    <row r="20" ht="12">
      <c r="A20" t="s">
        <v>485</v>
      </c>
    </row>
    <row r="21" ht="12">
      <c r="A21" t="s">
        <v>470</v>
      </c>
    </row>
    <row r="22" ht="12">
      <c r="A22" t="s">
        <v>486</v>
      </c>
    </row>
    <row r="23" ht="12">
      <c r="A23" t="s">
        <v>487</v>
      </c>
    </row>
    <row r="24" ht="12">
      <c r="A24" t="s">
        <v>488</v>
      </c>
    </row>
    <row r="25" ht="12">
      <c r="A25" t="s">
        <v>489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O65"/>
  <sheetViews>
    <sheetView workbookViewId="0" topLeftCell="A1">
      <selection activeCell="A9" sqref="A9"/>
    </sheetView>
  </sheetViews>
  <sheetFormatPr defaultColWidth="9.00390625" defaultRowHeight="12.75"/>
  <cols>
    <col min="1" max="1" width="26.375" style="0" customWidth="1"/>
    <col min="2" max="3" width="12.875" style="0" customWidth="1"/>
    <col min="4" max="4" width="9.875" style="0" customWidth="1"/>
    <col min="5" max="5" width="12.50390625" style="0" customWidth="1"/>
    <col min="6" max="6" width="10.625" style="0" customWidth="1"/>
    <col min="7" max="8" width="12.50390625" style="0" customWidth="1"/>
    <col min="9" max="9" width="23.00390625" style="0" customWidth="1"/>
    <col min="10" max="10" width="11.375" style="0" customWidth="1"/>
    <col min="11" max="11" width="11.875" style="0" customWidth="1"/>
    <col min="15" max="15" width="12.125" style="0" bestFit="1" customWidth="1"/>
  </cols>
  <sheetData>
    <row r="1" spans="1:4" ht="12">
      <c r="A1" t="s">
        <v>1698</v>
      </c>
      <c r="B1">
        <v>4</v>
      </c>
      <c r="C1" t="s">
        <v>1699</v>
      </c>
      <c r="D1">
        <v>6</v>
      </c>
    </row>
    <row r="2" spans="1:2" ht="12">
      <c r="A2" t="s">
        <v>1700</v>
      </c>
      <c r="B2">
        <v>11</v>
      </c>
    </row>
    <row r="3" spans="1:2" ht="12">
      <c r="A3" t="s">
        <v>1701</v>
      </c>
      <c r="B3">
        <v>0</v>
      </c>
    </row>
    <row r="4" spans="8:9" ht="12">
      <c r="H4">
        <v>2004</v>
      </c>
      <c r="I4">
        <v>28.81</v>
      </c>
    </row>
    <row r="5" spans="1:10" ht="12">
      <c r="A5" t="s">
        <v>1444</v>
      </c>
      <c r="H5">
        <v>2003</v>
      </c>
      <c r="I5">
        <v>30.68</v>
      </c>
      <c r="J5">
        <f>(I4+I5)/2</f>
        <v>29.744999999999997</v>
      </c>
    </row>
    <row r="6" spans="2:7" s="1" customFormat="1" ht="12">
      <c r="B6" s="1" t="s">
        <v>313</v>
      </c>
      <c r="C6" s="1" t="s">
        <v>313</v>
      </c>
      <c r="D6" s="1" t="s">
        <v>313</v>
      </c>
      <c r="E6" s="1" t="s">
        <v>1686</v>
      </c>
      <c r="F6" s="1" t="s">
        <v>1686</v>
      </c>
      <c r="G6" s="1" t="s">
        <v>1267</v>
      </c>
    </row>
    <row r="7" spans="3:11" s="1" customFormat="1" ht="27" customHeight="1">
      <c r="C7" s="1" t="s">
        <v>72</v>
      </c>
      <c r="D7" s="1" t="s">
        <v>73</v>
      </c>
      <c r="F7" s="1" t="s">
        <v>73</v>
      </c>
      <c r="G7" s="1" t="s">
        <v>1266</v>
      </c>
      <c r="I7" s="47" t="s">
        <v>1176</v>
      </c>
      <c r="J7" s="47" t="s">
        <v>1583</v>
      </c>
      <c r="K7" s="47" t="s">
        <v>1584</v>
      </c>
    </row>
    <row r="8" spans="3:11" s="1" customFormat="1" ht="27" customHeight="1">
      <c r="C8" s="1" t="s">
        <v>68</v>
      </c>
      <c r="D8" s="1" t="s">
        <v>69</v>
      </c>
      <c r="F8" s="1" t="s">
        <v>69</v>
      </c>
      <c r="I8" s="47"/>
      <c r="J8" s="47"/>
      <c r="K8" s="47"/>
    </row>
    <row r="9" spans="1:11" s="1" customFormat="1" ht="12">
      <c r="A9" s="1" t="s">
        <v>1176</v>
      </c>
      <c r="B9" s="14" t="s">
        <v>668</v>
      </c>
      <c r="C9" s="14" t="s">
        <v>669</v>
      </c>
      <c r="D9" s="14" t="s">
        <v>1264</v>
      </c>
      <c r="E9" s="14" t="s">
        <v>1265</v>
      </c>
      <c r="F9" s="14" t="s">
        <v>1365</v>
      </c>
      <c r="G9" s="14" t="s">
        <v>1366</v>
      </c>
      <c r="I9" s="1" t="s">
        <v>666</v>
      </c>
      <c r="J9" s="46">
        <f>E10</f>
        <v>100313</v>
      </c>
      <c r="K9" s="46">
        <f>G10</f>
        <v>42483</v>
      </c>
    </row>
    <row r="10" spans="1:11" ht="12">
      <c r="A10" t="s">
        <v>666</v>
      </c>
      <c r="B10" s="12">
        <f aca="true" t="shared" si="0" ref="B10:G10">B28</f>
        <v>207176</v>
      </c>
      <c r="C10" s="12">
        <f t="shared" si="0"/>
        <v>78049</v>
      </c>
      <c r="D10" s="12">
        <f t="shared" si="0"/>
        <v>129127</v>
      </c>
      <c r="E10" s="12">
        <f t="shared" si="0"/>
        <v>100313</v>
      </c>
      <c r="F10" s="12">
        <f t="shared" si="0"/>
        <v>57996</v>
      </c>
      <c r="G10" s="12">
        <f t="shared" si="0"/>
        <v>42483</v>
      </c>
      <c r="H10">
        <v>0</v>
      </c>
      <c r="I10" t="s">
        <v>1660</v>
      </c>
      <c r="J10" s="12">
        <f>E14</f>
        <v>588.4393</v>
      </c>
      <c r="K10" s="12">
        <f>G14</f>
        <v>390.72201</v>
      </c>
    </row>
    <row r="11" spans="1:11" ht="12">
      <c r="A11" t="s">
        <v>1268</v>
      </c>
      <c r="B11" s="17">
        <f aca="true" t="shared" si="1" ref="B11:E13">B29*100</f>
        <v>44.562594</v>
      </c>
      <c r="C11" s="17">
        <f>C29*100</f>
        <v>50.364515</v>
      </c>
      <c r="D11" s="17">
        <f t="shared" si="1"/>
        <v>41.055704999999996</v>
      </c>
      <c r="E11" s="17">
        <f t="shared" si="1"/>
        <v>61.935143000000004</v>
      </c>
      <c r="F11" s="17">
        <f aca="true" t="shared" si="2" ref="F11:G13">F29*100</f>
        <v>60.114491</v>
      </c>
      <c r="G11" s="17">
        <f t="shared" si="2"/>
        <v>18.680413</v>
      </c>
      <c r="H11">
        <v>2</v>
      </c>
      <c r="I11" t="s">
        <v>1661</v>
      </c>
      <c r="J11" s="12">
        <f>E15</f>
        <v>41.852575</v>
      </c>
      <c r="K11" s="12">
        <f>G15</f>
        <v>24.806782</v>
      </c>
    </row>
    <row r="12" spans="1:11" ht="12">
      <c r="A12" t="s">
        <v>1177</v>
      </c>
      <c r="B12" s="17">
        <f t="shared" si="1"/>
        <v>70.460864</v>
      </c>
      <c r="C12" s="17">
        <f>C30*100</f>
        <v>73.147638</v>
      </c>
      <c r="D12" s="17">
        <f t="shared" si="1"/>
        <v>68.836882</v>
      </c>
      <c r="E12" s="17">
        <f t="shared" si="1"/>
        <v>83.087935</v>
      </c>
      <c r="F12" s="17">
        <f t="shared" si="2"/>
        <v>82.398786</v>
      </c>
      <c r="G12" s="17">
        <f t="shared" si="2"/>
        <v>52.239718999999994</v>
      </c>
      <c r="H12">
        <v>2</v>
      </c>
      <c r="I12" t="s">
        <v>1662</v>
      </c>
      <c r="J12" s="43">
        <f>E16</f>
        <v>121735.13666666667</v>
      </c>
      <c r="K12" s="43">
        <f>G16</f>
        <v>472813.23333333334</v>
      </c>
    </row>
    <row r="13" spans="1:11" ht="12">
      <c r="A13" t="s">
        <v>1184</v>
      </c>
      <c r="B13" s="17">
        <f t="shared" si="1"/>
        <v>31.562054</v>
      </c>
      <c r="C13" s="17">
        <f>C31*100</f>
        <v>36.981896</v>
      </c>
      <c r="D13" s="17">
        <f t="shared" si="1"/>
        <v>28.286106</v>
      </c>
      <c r="E13" s="17">
        <f t="shared" si="1"/>
        <v>51.56958699999999</v>
      </c>
      <c r="F13" s="17">
        <f t="shared" si="2"/>
        <v>49.536175</v>
      </c>
      <c r="G13" s="17">
        <f t="shared" si="2"/>
        <v>5.411576</v>
      </c>
      <c r="H13">
        <v>2</v>
      </c>
      <c r="I13" t="s">
        <v>1663</v>
      </c>
      <c r="J13" s="7">
        <f>E20/100</f>
        <v>0.13683058</v>
      </c>
      <c r="K13" s="7">
        <f>G20/100</f>
        <v>9.205999999999998E-05</v>
      </c>
    </row>
    <row r="14" spans="1:8" ht="12">
      <c r="A14" t="s">
        <v>1178</v>
      </c>
      <c r="B14" s="12">
        <f aca="true" t="shared" si="3" ref="B14:E15">B32</f>
        <v>505.70561</v>
      </c>
      <c r="C14" s="12">
        <f>C32</f>
        <v>526.0094</v>
      </c>
      <c r="D14" s="12">
        <f t="shared" si="3"/>
        <v>493.43326</v>
      </c>
      <c r="E14" s="12">
        <f t="shared" si="3"/>
        <v>588.4393</v>
      </c>
      <c r="F14" s="12">
        <f>F32</f>
        <v>580.61922</v>
      </c>
      <c r="G14" s="12">
        <f>G32</f>
        <v>390.72201</v>
      </c>
      <c r="H14">
        <v>0</v>
      </c>
    </row>
    <row r="15" spans="1:8" ht="12">
      <c r="A15" t="s">
        <v>1179</v>
      </c>
      <c r="B15" s="12">
        <f t="shared" si="3"/>
        <v>38.316061</v>
      </c>
      <c r="C15" s="12">
        <f>C33</f>
        <v>42.677215</v>
      </c>
      <c r="D15" s="12">
        <f t="shared" si="3"/>
        <v>35.680023</v>
      </c>
      <c r="E15" s="12">
        <f t="shared" si="3"/>
        <v>41.852575</v>
      </c>
      <c r="F15" s="12">
        <f>F33</f>
        <v>37.944315</v>
      </c>
      <c r="G15" s="12">
        <f>G33</f>
        <v>24.806782</v>
      </c>
      <c r="H15">
        <v>0</v>
      </c>
    </row>
    <row r="16" spans="1:8" ht="12">
      <c r="A16" t="s">
        <v>1180</v>
      </c>
      <c r="B16" s="12">
        <f aca="true" t="shared" si="4" ref="B16:E17">B34/30</f>
        <v>283370.58999999997</v>
      </c>
      <c r="C16" s="12">
        <f>C34/30</f>
        <v>208907.62666666665</v>
      </c>
      <c r="D16" s="12">
        <f t="shared" si="4"/>
        <v>328378.68</v>
      </c>
      <c r="E16" s="12">
        <f t="shared" si="4"/>
        <v>121735.13666666667</v>
      </c>
      <c r="F16" s="12">
        <f aca="true" t="shared" si="5" ref="F16:G19">F34/30</f>
        <v>133710.62666666665</v>
      </c>
      <c r="G16" s="12">
        <f t="shared" si="5"/>
        <v>472813.23333333334</v>
      </c>
      <c r="H16" s="16">
        <v>0</v>
      </c>
    </row>
    <row r="17" spans="1:8" ht="12">
      <c r="A17" t="s">
        <v>1183</v>
      </c>
      <c r="B17" s="12">
        <f t="shared" si="4"/>
        <v>245640.28666666665</v>
      </c>
      <c r="C17" s="12">
        <f>C35/30</f>
        <v>384715</v>
      </c>
      <c r="D17" s="12">
        <f t="shared" si="4"/>
        <v>161578.54</v>
      </c>
      <c r="E17" s="12">
        <f t="shared" si="4"/>
        <v>129511.54000000001</v>
      </c>
      <c r="F17" s="12">
        <f t="shared" si="5"/>
        <v>84702.13666666667</v>
      </c>
      <c r="G17" s="12">
        <f t="shared" si="5"/>
        <v>168722.02333333335</v>
      </c>
      <c r="H17" s="16">
        <v>0</v>
      </c>
    </row>
    <row r="18" spans="1:8" ht="12">
      <c r="A18" t="s">
        <v>1181</v>
      </c>
      <c r="B18" s="12">
        <f aca="true" t="shared" si="6" ref="B18:E19">B36/30</f>
        <v>7913.129333333333</v>
      </c>
      <c r="C18" s="12">
        <f>C36/30</f>
        <v>11216.682333333332</v>
      </c>
      <c r="D18" s="12">
        <f t="shared" si="6"/>
        <v>5916.343</v>
      </c>
      <c r="E18" s="12">
        <f t="shared" si="6"/>
        <v>15899.583666666667</v>
      </c>
      <c r="F18" s="12">
        <f t="shared" si="5"/>
        <v>12760.548666666667</v>
      </c>
      <c r="G18" s="12">
        <f t="shared" si="5"/>
        <v>26.087577666666668</v>
      </c>
      <c r="H18">
        <v>0</v>
      </c>
    </row>
    <row r="19" spans="1:8" ht="12">
      <c r="A19" t="s">
        <v>1182</v>
      </c>
      <c r="B19" s="12">
        <f t="shared" si="6"/>
        <v>288.0453066666667</v>
      </c>
      <c r="C19" s="12">
        <f>C37/30</f>
        <v>375.30646666666667</v>
      </c>
      <c r="D19" s="12">
        <f t="shared" si="6"/>
        <v>235.30151666666669</v>
      </c>
      <c r="E19" s="12">
        <f t="shared" si="6"/>
        <v>572.4581666666667</v>
      </c>
      <c r="F19" s="12">
        <f t="shared" si="5"/>
        <v>503.27526666666665</v>
      </c>
      <c r="G19" s="12">
        <f t="shared" si="5"/>
        <v>0.27581826666666664</v>
      </c>
      <c r="H19" s="13">
        <v>0</v>
      </c>
    </row>
    <row r="20" spans="1:15" ht="14.25" customHeight="1">
      <c r="A20" t="s">
        <v>1611</v>
      </c>
      <c r="B20" s="17">
        <f aca="true" t="shared" si="7" ref="B20:G20">B38*100</f>
        <v>6.700559999999999</v>
      </c>
      <c r="C20" s="17">
        <f t="shared" si="7"/>
        <v>8.073663</v>
      </c>
      <c r="D20" s="17">
        <f t="shared" si="7"/>
        <v>5.870607</v>
      </c>
      <c r="E20" s="17">
        <f t="shared" si="7"/>
        <v>13.683058</v>
      </c>
      <c r="F20" s="17">
        <f t="shared" si="7"/>
        <v>12.908298000000002</v>
      </c>
      <c r="G20" s="17">
        <f t="shared" si="7"/>
        <v>0.009205999999999999</v>
      </c>
      <c r="H20">
        <v>2</v>
      </c>
      <c r="M20" t="s">
        <v>1149</v>
      </c>
      <c r="N20" t="s">
        <v>1150</v>
      </c>
      <c r="O20" t="s">
        <v>1151</v>
      </c>
    </row>
    <row r="21" spans="2:15" ht="12">
      <c r="B21" s="45"/>
      <c r="C21" s="45"/>
      <c r="D21" s="45">
        <f>D20/C20</f>
        <v>0.7271305478071106</v>
      </c>
      <c r="E21" s="45"/>
      <c r="F21" s="45"/>
      <c r="G21" s="45"/>
      <c r="L21" t="s">
        <v>1152</v>
      </c>
      <c r="M21">
        <v>469610486520.28</v>
      </c>
      <c r="N21">
        <v>712847048814.16</v>
      </c>
      <c r="O21">
        <f>N21+M21</f>
        <v>1182457535334.44</v>
      </c>
    </row>
    <row r="22" spans="1:15" ht="12">
      <c r="A22" t="s">
        <v>667</v>
      </c>
      <c r="D22">
        <f>D18/C18</f>
        <v>0.5274592632812668</v>
      </c>
      <c r="E22" s="12">
        <f>E16+E17</f>
        <v>251246.6766666667</v>
      </c>
      <c r="G22" s="12">
        <f>G16+G17</f>
        <v>641535.2566666667</v>
      </c>
      <c r="L22" t="s">
        <v>1148</v>
      </c>
      <c r="M22" s="11">
        <v>169778028112060</v>
      </c>
      <c r="N22" s="11">
        <v>169337727321620</v>
      </c>
      <c r="O22" s="11">
        <f>N22+M22</f>
        <v>339115755433680</v>
      </c>
    </row>
    <row r="23" spans="1:15" ht="12">
      <c r="A23" s="2" t="s">
        <v>668</v>
      </c>
      <c r="D23">
        <f>8.79*42842*10^7</f>
        <v>3765811799999.9995</v>
      </c>
      <c r="E23" s="12">
        <f>E22/E15</f>
        <v>6003.1354502480835</v>
      </c>
      <c r="G23" s="55">
        <f>G22/G15</f>
        <v>25861.28489647173</v>
      </c>
      <c r="H23">
        <f>G23/E23</f>
        <v>4.307962915513258</v>
      </c>
      <c r="O23" s="58">
        <f>O21/O22</f>
        <v>0.0034868846887466136</v>
      </c>
    </row>
    <row r="24" spans="1:8" ht="12">
      <c r="A24" s="2" t="s">
        <v>669</v>
      </c>
      <c r="D24">
        <f>D23/30/10^9</f>
        <v>125.52705999999999</v>
      </c>
      <c r="G24">
        <v>10160874388</v>
      </c>
      <c r="H24">
        <v>29865934803</v>
      </c>
    </row>
    <row r="25" spans="1:7" ht="12">
      <c r="A25" s="2"/>
      <c r="G25" s="12">
        <f>E14-G14</f>
        <v>197.71729</v>
      </c>
    </row>
    <row r="26" spans="1:10" ht="12">
      <c r="A26" s="2" t="s">
        <v>689</v>
      </c>
      <c r="J26">
        <f>1/1.18*0.76*0.87</f>
        <v>0.5603389830508475</v>
      </c>
    </row>
    <row r="27" spans="2:7" ht="12">
      <c r="B27" t="s">
        <v>1154</v>
      </c>
      <c r="C27" t="s">
        <v>1155</v>
      </c>
      <c r="D27" t="s">
        <v>1156</v>
      </c>
      <c r="E27" t="s">
        <v>1157</v>
      </c>
      <c r="F27" t="s">
        <v>1377</v>
      </c>
      <c r="G27" t="s">
        <v>1378</v>
      </c>
    </row>
    <row r="28" spans="1:7" ht="12">
      <c r="A28" t="s">
        <v>1158</v>
      </c>
      <c r="B28">
        <v>207176</v>
      </c>
      <c r="C28">
        <v>78049</v>
      </c>
      <c r="D28">
        <v>129127</v>
      </c>
      <c r="E28">
        <v>100313</v>
      </c>
      <c r="F28">
        <v>57996</v>
      </c>
      <c r="G28">
        <v>42483</v>
      </c>
    </row>
    <row r="29" spans="1:7" ht="12">
      <c r="A29" t="s">
        <v>1159</v>
      </c>
      <c r="B29" s="7">
        <v>0.44562594</v>
      </c>
      <c r="C29" s="7">
        <v>0.50364515</v>
      </c>
      <c r="D29" s="7">
        <v>0.41055705</v>
      </c>
      <c r="E29" s="7">
        <v>0.61935143</v>
      </c>
      <c r="F29" s="7">
        <v>0.60114491</v>
      </c>
      <c r="G29" s="7">
        <v>0.18680413</v>
      </c>
    </row>
    <row r="30" spans="1:7" ht="12">
      <c r="A30" t="s">
        <v>1160</v>
      </c>
      <c r="B30" s="7">
        <v>0.70460864</v>
      </c>
      <c r="C30" s="7">
        <v>0.73147638</v>
      </c>
      <c r="D30" s="7">
        <v>0.68836882</v>
      </c>
      <c r="E30" s="7">
        <v>0.83087935</v>
      </c>
      <c r="F30" s="7">
        <v>0.82398786</v>
      </c>
      <c r="G30" s="7">
        <v>0.52239719</v>
      </c>
    </row>
    <row r="31" spans="1:7" ht="12">
      <c r="A31" t="s">
        <v>1161</v>
      </c>
      <c r="B31" s="7">
        <v>0.31562054</v>
      </c>
      <c r="C31" s="7">
        <v>0.36981896</v>
      </c>
      <c r="D31" s="7">
        <v>0.28286106</v>
      </c>
      <c r="E31" s="7">
        <v>0.51569587</v>
      </c>
      <c r="F31" s="7">
        <v>0.49536175</v>
      </c>
      <c r="G31" s="7">
        <v>0.05411576</v>
      </c>
    </row>
    <row r="32" spans="1:7" ht="12">
      <c r="A32" t="s">
        <v>1162</v>
      </c>
      <c r="B32" s="8">
        <v>505.70561</v>
      </c>
      <c r="C32" s="8">
        <v>526.0094</v>
      </c>
      <c r="D32" s="8">
        <v>493.43326</v>
      </c>
      <c r="E32" s="8">
        <v>588.4393</v>
      </c>
      <c r="F32" s="8">
        <v>580.61922</v>
      </c>
      <c r="G32" s="8">
        <v>390.72201</v>
      </c>
    </row>
    <row r="33" spans="1:7" ht="12">
      <c r="A33" t="s">
        <v>1163</v>
      </c>
      <c r="B33" s="8">
        <v>38.316061</v>
      </c>
      <c r="C33" s="8">
        <v>42.677215</v>
      </c>
      <c r="D33" s="8">
        <v>35.680023</v>
      </c>
      <c r="E33" s="8">
        <v>41.852575</v>
      </c>
      <c r="F33" s="8">
        <v>37.944315</v>
      </c>
      <c r="G33" s="8">
        <v>24.806782</v>
      </c>
    </row>
    <row r="34" spans="1:7" ht="12">
      <c r="A34" t="s">
        <v>1164</v>
      </c>
      <c r="B34" s="8">
        <v>8501117.7</v>
      </c>
      <c r="C34" s="8">
        <v>6267228.8</v>
      </c>
      <c r="D34" s="8">
        <v>9851360.4</v>
      </c>
      <c r="E34" s="8">
        <v>3652054.1</v>
      </c>
      <c r="F34" s="8">
        <v>4011318.8</v>
      </c>
      <c r="G34" s="8">
        <v>14184397</v>
      </c>
    </row>
    <row r="35" spans="1:7" ht="12">
      <c r="A35" t="s">
        <v>1165</v>
      </c>
      <c r="B35" s="8">
        <v>7369208.6</v>
      </c>
      <c r="C35" s="8">
        <v>11541450</v>
      </c>
      <c r="D35" s="8">
        <v>4847356.2</v>
      </c>
      <c r="E35" s="8">
        <v>3885346.2</v>
      </c>
      <c r="F35" s="8">
        <v>2541064.1</v>
      </c>
      <c r="G35" s="8">
        <v>5061660.7</v>
      </c>
    </row>
    <row r="36" spans="1:7" ht="12">
      <c r="A36" t="s">
        <v>1166</v>
      </c>
      <c r="B36" s="11">
        <v>237393.88</v>
      </c>
      <c r="C36" s="11">
        <v>336500.47</v>
      </c>
      <c r="D36" s="11">
        <v>177490.29</v>
      </c>
      <c r="E36" s="9">
        <v>476987.51</v>
      </c>
      <c r="F36" s="9">
        <v>382816.46</v>
      </c>
      <c r="G36" s="9">
        <v>782.62733</v>
      </c>
    </row>
    <row r="37" spans="1:7" ht="12">
      <c r="A37" t="s">
        <v>1167</v>
      </c>
      <c r="B37" s="9">
        <v>8641.3592</v>
      </c>
      <c r="C37" s="9">
        <v>11259.194</v>
      </c>
      <c r="D37" s="9">
        <v>7059.0455</v>
      </c>
      <c r="E37" s="9">
        <v>17173.745</v>
      </c>
      <c r="F37" s="9">
        <v>15098.258</v>
      </c>
      <c r="G37" s="9">
        <v>8.274548</v>
      </c>
    </row>
    <row r="38" spans="1:7" ht="12">
      <c r="A38" t="s">
        <v>1168</v>
      </c>
      <c r="B38" s="9">
        <v>0.0670056</v>
      </c>
      <c r="C38" s="9">
        <v>0.08073663</v>
      </c>
      <c r="D38" s="9">
        <v>0.05870607</v>
      </c>
      <c r="E38" s="9">
        <v>0.13683058</v>
      </c>
      <c r="F38" s="9">
        <v>0.12908298</v>
      </c>
      <c r="G38" s="9">
        <v>9.206E-05</v>
      </c>
    </row>
    <row r="39" spans="2:7" ht="12">
      <c r="B39" s="9"/>
      <c r="C39" s="9"/>
      <c r="D39" s="9"/>
      <c r="E39" s="9"/>
      <c r="F39" s="9"/>
      <c r="G39" s="9"/>
    </row>
    <row r="40" spans="2:7" ht="12">
      <c r="B40" s="9"/>
      <c r="C40" s="9"/>
      <c r="D40" s="9"/>
      <c r="E40" s="9"/>
      <c r="F40" s="9"/>
      <c r="G40" s="9"/>
    </row>
    <row r="41" spans="2:7" ht="12">
      <c r="B41" s="9"/>
      <c r="C41" s="9"/>
      <c r="D41" s="9"/>
      <c r="E41" s="9"/>
      <c r="F41" s="9"/>
      <c r="G41" s="9"/>
    </row>
    <row r="42" spans="2:7" ht="12">
      <c r="B42" s="7"/>
      <c r="C42" s="7"/>
      <c r="D42" s="7"/>
      <c r="E42" s="7"/>
      <c r="F42" s="7"/>
      <c r="G42" s="7"/>
    </row>
    <row r="43" spans="2:7" ht="12">
      <c r="B43" s="7"/>
      <c r="C43" s="7"/>
      <c r="D43" s="7"/>
      <c r="E43" s="7"/>
      <c r="F43" s="7"/>
      <c r="G43" s="7"/>
    </row>
    <row r="44" spans="2:7" ht="12">
      <c r="B44" s="7"/>
      <c r="C44" s="7"/>
      <c r="D44" s="7"/>
      <c r="E44" s="7"/>
      <c r="F44" s="7"/>
      <c r="G44" s="7"/>
    </row>
    <row r="45" spans="1:7" ht="12">
      <c r="A45" t="s">
        <v>1702</v>
      </c>
      <c r="B45" s="7"/>
      <c r="C45" s="7"/>
      <c r="D45" s="7"/>
      <c r="E45" s="7"/>
      <c r="F45" s="7"/>
      <c r="G45" s="7"/>
    </row>
    <row r="46" spans="1:7" ht="12">
      <c r="A46" t="s">
        <v>1703</v>
      </c>
      <c r="B46" s="7"/>
      <c r="C46" s="7"/>
      <c r="D46" s="7"/>
      <c r="E46" s="7"/>
      <c r="F46" s="7"/>
      <c r="G46" s="7"/>
    </row>
    <row r="47" ht="12">
      <c r="A47" t="s">
        <v>1704</v>
      </c>
    </row>
    <row r="48" ht="12">
      <c r="A48" t="s">
        <v>70</v>
      </c>
    </row>
    <row r="49" ht="12">
      <c r="A49" t="s">
        <v>71</v>
      </c>
    </row>
    <row r="50" ht="12">
      <c r="A50" t="s">
        <v>1705</v>
      </c>
    </row>
    <row r="51" ht="12">
      <c r="A51" t="s">
        <v>1706</v>
      </c>
    </row>
    <row r="52" ht="12">
      <c r="A52" t="s">
        <v>1707</v>
      </c>
    </row>
    <row r="53" ht="12">
      <c r="A53" t="s">
        <v>1708</v>
      </c>
    </row>
    <row r="54" ht="12">
      <c r="A54" t="s">
        <v>1709</v>
      </c>
    </row>
    <row r="55" ht="12">
      <c r="A55" t="s">
        <v>1710</v>
      </c>
    </row>
    <row r="56" ht="12">
      <c r="A56" t="s">
        <v>1703</v>
      </c>
    </row>
    <row r="57" ht="12">
      <c r="A57" t="s">
        <v>1432</v>
      </c>
    </row>
    <row r="58" ht="12">
      <c r="A58" t="s">
        <v>1433</v>
      </c>
    </row>
    <row r="59" ht="12">
      <c r="A59" t="s">
        <v>1434</v>
      </c>
    </row>
    <row r="60" ht="12">
      <c r="A60" t="s">
        <v>1435</v>
      </c>
    </row>
    <row r="61" ht="12">
      <c r="A61" t="s">
        <v>1706</v>
      </c>
    </row>
    <row r="62" ht="12">
      <c r="A62" t="s">
        <v>65</v>
      </c>
    </row>
    <row r="63" ht="12">
      <c r="A63" t="s">
        <v>1706</v>
      </c>
    </row>
    <row r="64" ht="12">
      <c r="A64" t="s">
        <v>66</v>
      </c>
    </row>
    <row r="65" ht="12">
      <c r="A65" t="s">
        <v>67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1"/>
  <dimension ref="A1:P64"/>
  <sheetViews>
    <sheetView workbookViewId="0" topLeftCell="A1">
      <selection activeCell="A11" sqref="A11"/>
    </sheetView>
  </sheetViews>
  <sheetFormatPr defaultColWidth="9.00390625" defaultRowHeight="12.75"/>
  <cols>
    <col min="1" max="1" width="26.375" style="0" customWidth="1"/>
    <col min="2" max="2" width="16.625" style="0" customWidth="1"/>
    <col min="3" max="3" width="10.625" style="0" customWidth="1"/>
    <col min="4" max="4" width="13.125" style="0" customWidth="1"/>
    <col min="5" max="5" width="12.50390625" style="0" customWidth="1"/>
    <col min="6" max="6" width="13.125" style="0" customWidth="1"/>
    <col min="9" max="9" width="11.50390625" style="0" bestFit="1" customWidth="1"/>
    <col min="11" max="11" width="12.00390625" style="0" bestFit="1" customWidth="1"/>
    <col min="13" max="13" width="12.375" style="0" bestFit="1" customWidth="1"/>
  </cols>
  <sheetData>
    <row r="1" spans="1:4" ht="12">
      <c r="A1" t="s">
        <v>1698</v>
      </c>
      <c r="B1">
        <v>3</v>
      </c>
      <c r="C1" t="s">
        <v>1699</v>
      </c>
      <c r="D1">
        <v>5</v>
      </c>
    </row>
    <row r="2" spans="1:2" ht="12">
      <c r="A2" t="s">
        <v>1700</v>
      </c>
      <c r="B2">
        <v>11</v>
      </c>
    </row>
    <row r="3" spans="1:16" ht="12">
      <c r="A3" t="s">
        <v>1701</v>
      </c>
      <c r="B3">
        <v>0</v>
      </c>
      <c r="F3">
        <v>2004</v>
      </c>
      <c r="G3">
        <v>28.81</v>
      </c>
      <c r="I3">
        <v>2223193195700.503</v>
      </c>
      <c r="J3">
        <f>I3/G3/10^9</f>
        <v>77.16741394309278</v>
      </c>
      <c r="K3">
        <f>17*10^12</f>
        <v>17000000000000</v>
      </c>
      <c r="L3">
        <f>I3/K3</f>
        <v>0.1307760703353237</v>
      </c>
      <c r="M3">
        <f>L3*0.44</f>
        <v>0.05754147094754243</v>
      </c>
      <c r="O3">
        <f>3.6*10^12</f>
        <v>3600000000000</v>
      </c>
      <c r="P3">
        <f>O3/K3</f>
        <v>0.21176470588235294</v>
      </c>
    </row>
    <row r="5" spans="1:16" ht="12">
      <c r="A5" t="s">
        <v>304</v>
      </c>
      <c r="F5">
        <v>2003</v>
      </c>
      <c r="G5">
        <v>30.68</v>
      </c>
      <c r="H5">
        <f>(G3+G5)/2</f>
        <v>29.744999999999997</v>
      </c>
      <c r="I5">
        <v>1500560196954.7324</v>
      </c>
      <c r="J5">
        <f>I5/G5/10^9</f>
        <v>48.91004553307472</v>
      </c>
      <c r="K5">
        <f>13.243*10^12</f>
        <v>13243000000000</v>
      </c>
      <c r="L5">
        <f>I5/K5</f>
        <v>0.11330968790717605</v>
      </c>
      <c r="M5">
        <f>L5*0.41</f>
        <v>0.04645697204194218</v>
      </c>
      <c r="P5">
        <f>M3/P3</f>
        <v>0.27172361280783924</v>
      </c>
    </row>
    <row r="6" spans="3:11" s="1" customFormat="1" ht="15" customHeight="1">
      <c r="C6" s="60" t="s">
        <v>1657</v>
      </c>
      <c r="D6" s="60"/>
      <c r="E6" s="60" t="s">
        <v>1658</v>
      </c>
      <c r="F6" s="60"/>
      <c r="K6" s="1">
        <f>SUM(K3:K5)/2</f>
        <v>15121500000000</v>
      </c>
    </row>
    <row r="7" spans="2:10" s="1" customFormat="1" ht="12">
      <c r="B7" s="1" t="s">
        <v>1656</v>
      </c>
      <c r="C7" s="1" t="s">
        <v>1659</v>
      </c>
      <c r="D7" s="1" t="s">
        <v>74</v>
      </c>
      <c r="E7" s="1" t="s">
        <v>1659</v>
      </c>
      <c r="F7" s="1" t="s">
        <v>74</v>
      </c>
      <c r="J7" s="1" t="s">
        <v>1683</v>
      </c>
    </row>
    <row r="8" spans="1:13" s="1" customFormat="1" ht="12">
      <c r="A8" s="1" t="s">
        <v>1176</v>
      </c>
      <c r="B8" s="14" t="s">
        <v>668</v>
      </c>
      <c r="C8" s="14" t="s">
        <v>669</v>
      </c>
      <c r="D8" s="14" t="s">
        <v>1264</v>
      </c>
      <c r="E8" s="14" t="s">
        <v>1265</v>
      </c>
      <c r="F8" s="14" t="s">
        <v>1365</v>
      </c>
      <c r="J8" s="1" t="s">
        <v>1684</v>
      </c>
      <c r="K8" s="1">
        <f>2.43*10^10</f>
        <v>24300000000</v>
      </c>
      <c r="L8" s="1">
        <v>331</v>
      </c>
      <c r="M8" s="1">
        <f>L8*K8/2</f>
        <v>4021650000000</v>
      </c>
    </row>
    <row r="9" spans="1:13" ht="12">
      <c r="A9" t="s">
        <v>666</v>
      </c>
      <c r="B9" s="12">
        <f>B27</f>
        <v>28153</v>
      </c>
      <c r="C9" s="12">
        <f>C27</f>
        <v>14330</v>
      </c>
      <c r="D9" s="12">
        <f>D27</f>
        <v>9297</v>
      </c>
      <c r="E9" s="12">
        <f>E27</f>
        <v>18004</v>
      </c>
      <c r="F9" s="12">
        <f>F27</f>
        <v>10835</v>
      </c>
      <c r="M9">
        <f>M8/K6</f>
        <v>0.26595575835730584</v>
      </c>
    </row>
    <row r="10" spans="1:6" ht="12">
      <c r="A10" t="s">
        <v>1268</v>
      </c>
      <c r="B10" s="17">
        <f aca="true" t="shared" si="0" ref="B10:E12">B28*100</f>
        <v>13.476361</v>
      </c>
      <c r="C10" s="17">
        <f t="shared" si="0"/>
        <v>28.904396</v>
      </c>
      <c r="D10" s="17">
        <f t="shared" si="0"/>
        <v>33.032161</v>
      </c>
      <c r="E10" s="17">
        <f t="shared" si="0"/>
        <v>28.676961000000002</v>
      </c>
      <c r="F10" s="17">
        <f>F28*100</f>
        <v>33.096447</v>
      </c>
    </row>
    <row r="11" spans="1:6" ht="12">
      <c r="A11" t="s">
        <v>1177</v>
      </c>
      <c r="B11" s="17">
        <f t="shared" si="0"/>
        <v>51.237879</v>
      </c>
      <c r="C11" s="17">
        <f t="shared" si="0"/>
        <v>54.207955</v>
      </c>
      <c r="D11" s="17">
        <f t="shared" si="0"/>
        <v>56.684952</v>
      </c>
      <c r="E11" s="17">
        <f t="shared" si="0"/>
        <v>55.126639</v>
      </c>
      <c r="F11" s="17">
        <f>F29*100</f>
        <v>56.769728</v>
      </c>
    </row>
    <row r="12" spans="1:13" ht="12">
      <c r="A12" t="s">
        <v>1184</v>
      </c>
      <c r="B12" s="17">
        <f t="shared" si="0"/>
        <v>4.077718</v>
      </c>
      <c r="C12" s="17">
        <f t="shared" si="0"/>
        <v>8.0321</v>
      </c>
      <c r="D12" s="17">
        <f t="shared" si="0"/>
        <v>12.272776</v>
      </c>
      <c r="E12" s="17">
        <f t="shared" si="0"/>
        <v>8.259276</v>
      </c>
      <c r="F12" s="17">
        <f>F30*100</f>
        <v>13.068759</v>
      </c>
      <c r="J12" t="s">
        <v>1685</v>
      </c>
      <c r="K12">
        <f>2.04*10^9</f>
        <v>2040000000</v>
      </c>
      <c r="L12">
        <v>9879</v>
      </c>
      <c r="M12" s="1">
        <f>L12*K12/2</f>
        <v>10076580000000</v>
      </c>
    </row>
    <row r="13" spans="1:13" ht="12.75">
      <c r="A13" t="s">
        <v>1178</v>
      </c>
      <c r="B13" s="12">
        <f aca="true" t="shared" si="1" ref="B13:E14">B31</f>
        <v>382.1407</v>
      </c>
      <c r="C13" s="12">
        <f t="shared" si="1"/>
        <v>407.58102</v>
      </c>
      <c r="D13" s="12">
        <f t="shared" si="1"/>
        <v>448.18199</v>
      </c>
      <c r="E13" s="12">
        <f t="shared" si="1"/>
        <v>407.8422</v>
      </c>
      <c r="F13" s="12">
        <f>F31</f>
        <v>450.03563</v>
      </c>
      <c r="J13" s="57"/>
      <c r="M13">
        <f>M12/K6</f>
        <v>0.6663743676222597</v>
      </c>
    </row>
    <row r="14" spans="1:6" ht="12">
      <c r="A14" t="s">
        <v>1179</v>
      </c>
      <c r="B14" s="12">
        <f t="shared" si="1"/>
        <v>12.12392</v>
      </c>
      <c r="C14" s="12">
        <f t="shared" si="1"/>
        <v>49.723783</v>
      </c>
      <c r="D14" s="12">
        <f t="shared" si="1"/>
        <v>49.450554</v>
      </c>
      <c r="E14" s="12">
        <f t="shared" si="1"/>
        <v>50.817438</v>
      </c>
      <c r="F14" s="12">
        <f>F32</f>
        <v>46.960247</v>
      </c>
    </row>
    <row r="15" spans="1:6" ht="12">
      <c r="A15" t="s">
        <v>1180</v>
      </c>
      <c r="B15" s="12">
        <f aca="true" t="shared" si="2" ref="B15:E18">B33/30</f>
        <v>231724.31999999998</v>
      </c>
      <c r="C15" s="12">
        <f t="shared" si="2"/>
        <v>946461.2333333333</v>
      </c>
      <c r="D15" s="12">
        <f t="shared" si="2"/>
        <v>400239.8</v>
      </c>
      <c r="E15" s="12">
        <f t="shared" si="2"/>
        <v>837057.0333333333</v>
      </c>
      <c r="F15" s="12">
        <f>F33/30</f>
        <v>354552.73333333334</v>
      </c>
    </row>
    <row r="16" spans="1:6" ht="12">
      <c r="A16" t="s">
        <v>1183</v>
      </c>
      <c r="B16" s="12">
        <f t="shared" si="2"/>
        <v>90467.48333333334</v>
      </c>
      <c r="C16" s="12">
        <f t="shared" si="2"/>
        <v>322462.43333333335</v>
      </c>
      <c r="D16" s="12">
        <f t="shared" si="2"/>
        <v>210226.11333333334</v>
      </c>
      <c r="E16" s="12">
        <f t="shared" si="2"/>
        <v>344743.5333333333</v>
      </c>
      <c r="F16" s="12">
        <f>F34/30</f>
        <v>176450.60666666666</v>
      </c>
    </row>
    <row r="17" spans="1:11" ht="12">
      <c r="A17" t="s">
        <v>1181</v>
      </c>
      <c r="B17" s="12">
        <f t="shared" si="2"/>
        <v>0</v>
      </c>
      <c r="C17" s="12">
        <f t="shared" si="2"/>
        <v>77.33974666666667</v>
      </c>
      <c r="D17" s="12">
        <f t="shared" si="2"/>
        <v>680.7718</v>
      </c>
      <c r="E17" s="12">
        <f t="shared" si="2"/>
        <v>84.03592666666667</v>
      </c>
      <c r="F17" s="12">
        <f>F35/30</f>
        <v>954.5247999999999</v>
      </c>
      <c r="J17">
        <v>100</v>
      </c>
      <c r="K17">
        <f>J17*0.306</f>
        <v>30.599999999999998</v>
      </c>
    </row>
    <row r="18" spans="1:12" ht="12">
      <c r="A18" t="s">
        <v>1182</v>
      </c>
      <c r="B18" s="12">
        <f t="shared" si="2"/>
        <v>0</v>
      </c>
      <c r="C18" s="12">
        <f t="shared" si="2"/>
        <v>0.8176962666666667</v>
      </c>
      <c r="D18" s="12">
        <f t="shared" si="2"/>
        <v>1.0563218666666667</v>
      </c>
      <c r="E18" s="12">
        <f t="shared" si="2"/>
        <v>0.8593720666666667</v>
      </c>
      <c r="F18" s="12">
        <f>F36/30</f>
        <v>1.150275</v>
      </c>
      <c r="J18">
        <f>J17*0.87</f>
        <v>87</v>
      </c>
      <c r="K18">
        <f>J17+K17</f>
        <v>130.6</v>
      </c>
      <c r="L18">
        <f>K18*1.18</f>
        <v>154.10799999999998</v>
      </c>
    </row>
    <row r="19" spans="1:12" ht="14.25" customHeight="1">
      <c r="A19" t="s">
        <v>1611</v>
      </c>
      <c r="B19" s="17">
        <f>B37*100</f>
        <v>0</v>
      </c>
      <c r="C19" s="17">
        <f>C37*100</f>
        <v>0.027293</v>
      </c>
      <c r="D19" s="17">
        <f>D37*100</f>
        <v>0.305929</v>
      </c>
      <c r="E19" s="17">
        <f>E37*100</f>
        <v>0.025833</v>
      </c>
      <c r="F19" s="17">
        <f>F37*100</f>
        <v>0.378464</v>
      </c>
      <c r="H19" s="17">
        <f>1/1.18/1.306*0.87</f>
        <v>0.5645391543592805</v>
      </c>
      <c r="L19">
        <f>J18/L18</f>
        <v>0.5645391543592806</v>
      </c>
    </row>
    <row r="21" ht="12">
      <c r="A21" t="s">
        <v>667</v>
      </c>
    </row>
    <row r="22" spans="1:3" ht="12">
      <c r="A22" s="2" t="s">
        <v>668</v>
      </c>
      <c r="C22">
        <f>8.79*42842*10^7</f>
        <v>3765811799999.9995</v>
      </c>
    </row>
    <row r="23" spans="1:3" ht="12">
      <c r="A23" s="2" t="s">
        <v>669</v>
      </c>
      <c r="C23">
        <f>C22/30/10^9</f>
        <v>125.52705999999999</v>
      </c>
    </row>
    <row r="24" ht="12">
      <c r="A24" s="2"/>
    </row>
    <row r="25" ht="12">
      <c r="A25" s="2" t="s">
        <v>689</v>
      </c>
    </row>
    <row r="26" spans="2:6" ht="12">
      <c r="B26" t="s">
        <v>1154</v>
      </c>
      <c r="C26" t="s">
        <v>1155</v>
      </c>
      <c r="D26" t="s">
        <v>1156</v>
      </c>
      <c r="E26" t="s">
        <v>1157</v>
      </c>
      <c r="F26" t="s">
        <v>1377</v>
      </c>
    </row>
    <row r="27" spans="1:6" ht="12">
      <c r="A27" t="s">
        <v>1158</v>
      </c>
      <c r="B27">
        <v>28153</v>
      </c>
      <c r="C27">
        <v>14330</v>
      </c>
      <c r="D27">
        <v>9297</v>
      </c>
      <c r="E27">
        <v>18004</v>
      </c>
      <c r="F27">
        <v>10835</v>
      </c>
    </row>
    <row r="28" spans="1:6" ht="12">
      <c r="A28" t="s">
        <v>1159</v>
      </c>
      <c r="B28" s="7">
        <v>0.13476361</v>
      </c>
      <c r="C28" s="7">
        <v>0.28904396</v>
      </c>
      <c r="D28" s="7">
        <v>0.33032161</v>
      </c>
      <c r="E28" s="7">
        <v>0.28676961</v>
      </c>
      <c r="F28">
        <v>0.33096447</v>
      </c>
    </row>
    <row r="29" spans="1:6" ht="12">
      <c r="A29" t="s">
        <v>1160</v>
      </c>
      <c r="B29" s="7">
        <v>0.51237879</v>
      </c>
      <c r="C29" s="7">
        <v>0.54207955</v>
      </c>
      <c r="D29" s="7">
        <v>0.56684952</v>
      </c>
      <c r="E29" s="7">
        <v>0.55126639</v>
      </c>
      <c r="F29">
        <v>0.56769728</v>
      </c>
    </row>
    <row r="30" spans="1:6" ht="12">
      <c r="A30" t="s">
        <v>1161</v>
      </c>
      <c r="B30" s="7">
        <v>0.04077718</v>
      </c>
      <c r="C30" s="7">
        <v>0.080321</v>
      </c>
      <c r="D30" s="7">
        <v>0.12272776</v>
      </c>
      <c r="E30" s="7">
        <v>0.08259276</v>
      </c>
      <c r="F30">
        <v>0.13068759</v>
      </c>
    </row>
    <row r="31" spans="1:6" ht="12">
      <c r="A31" t="s">
        <v>1162</v>
      </c>
      <c r="B31" s="8">
        <v>382.1407</v>
      </c>
      <c r="C31" s="8">
        <v>407.58102</v>
      </c>
      <c r="D31" s="8">
        <v>448.18199</v>
      </c>
      <c r="E31" s="8">
        <v>407.8422</v>
      </c>
      <c r="F31">
        <v>450.03563</v>
      </c>
    </row>
    <row r="32" spans="1:6" ht="12">
      <c r="A32" t="s">
        <v>1163</v>
      </c>
      <c r="B32" s="8">
        <v>12.12392</v>
      </c>
      <c r="C32" s="8">
        <v>49.723783</v>
      </c>
      <c r="D32" s="8">
        <v>49.450554</v>
      </c>
      <c r="E32" s="8">
        <v>50.817438</v>
      </c>
      <c r="F32">
        <v>46.960247</v>
      </c>
    </row>
    <row r="33" spans="1:6" ht="12">
      <c r="A33" t="s">
        <v>1164</v>
      </c>
      <c r="B33" s="8">
        <v>6951729.6</v>
      </c>
      <c r="C33" s="8">
        <v>28393837</v>
      </c>
      <c r="D33" s="8">
        <v>12007194</v>
      </c>
      <c r="E33" s="8">
        <v>25111711</v>
      </c>
      <c r="F33">
        <v>10636582</v>
      </c>
    </row>
    <row r="34" spans="1:6" ht="12">
      <c r="A34" t="s">
        <v>1165</v>
      </c>
      <c r="B34" s="8">
        <v>2714024.5</v>
      </c>
      <c r="C34" s="8">
        <v>9673873</v>
      </c>
      <c r="D34" s="8">
        <v>6306783.4</v>
      </c>
      <c r="E34" s="8">
        <v>10342306</v>
      </c>
      <c r="F34">
        <v>5293518.2</v>
      </c>
    </row>
    <row r="35" spans="1:6" ht="12">
      <c r="A35" t="s">
        <v>1166</v>
      </c>
      <c r="B35" s="11">
        <v>0</v>
      </c>
      <c r="C35" s="11">
        <v>2320.1924</v>
      </c>
      <c r="D35" s="9">
        <v>20423.154</v>
      </c>
      <c r="E35" s="9">
        <v>2521.0778</v>
      </c>
      <c r="F35">
        <v>28635.744</v>
      </c>
    </row>
    <row r="36" spans="1:6" ht="12">
      <c r="A36" t="s">
        <v>1167</v>
      </c>
      <c r="B36" s="9">
        <v>0</v>
      </c>
      <c r="C36" s="9">
        <v>24.530888</v>
      </c>
      <c r="D36" s="9">
        <v>31.689656</v>
      </c>
      <c r="E36" s="9">
        <v>25.781162</v>
      </c>
      <c r="F36">
        <v>34.50825</v>
      </c>
    </row>
    <row r="37" spans="1:6" ht="12">
      <c r="A37" t="s">
        <v>1168</v>
      </c>
      <c r="B37" s="9">
        <v>0</v>
      </c>
      <c r="C37" s="9">
        <v>0.00027293</v>
      </c>
      <c r="D37" s="9">
        <v>0.00305929</v>
      </c>
      <c r="E37" s="9">
        <v>0.00025833</v>
      </c>
      <c r="F37">
        <v>0.00378464</v>
      </c>
    </row>
    <row r="38" spans="2:5" ht="12">
      <c r="B38" s="9"/>
      <c r="C38" s="9"/>
      <c r="D38" s="9"/>
      <c r="E38" s="9"/>
    </row>
    <row r="39" spans="2:5" ht="12">
      <c r="B39" s="9"/>
      <c r="C39" s="9"/>
      <c r="D39" s="9"/>
      <c r="E39" s="9"/>
    </row>
    <row r="40" spans="2:5" ht="12">
      <c r="B40" s="9"/>
      <c r="C40" s="9"/>
      <c r="D40" s="9"/>
      <c r="E40" s="9"/>
    </row>
    <row r="41" spans="2:5" ht="12">
      <c r="B41" s="7"/>
      <c r="C41" s="7"/>
      <c r="D41" s="7"/>
      <c r="E41" s="7"/>
    </row>
    <row r="42" spans="2:5" ht="12">
      <c r="B42" s="7"/>
      <c r="C42" s="7"/>
      <c r="D42" s="7"/>
      <c r="E42" s="7"/>
    </row>
    <row r="43" spans="2:5" ht="12">
      <c r="B43" s="7"/>
      <c r="C43" s="7"/>
      <c r="D43" s="7"/>
      <c r="E43" s="7"/>
    </row>
    <row r="44" spans="2:5" ht="12">
      <c r="B44" s="7"/>
      <c r="C44" s="7"/>
      <c r="D44" s="7"/>
      <c r="E44" s="7"/>
    </row>
    <row r="45" spans="1:5" ht="12">
      <c r="A45" t="s">
        <v>75</v>
      </c>
      <c r="B45" s="7"/>
      <c r="C45" s="7"/>
      <c r="D45" s="7"/>
      <c r="E45" s="7"/>
    </row>
    <row r="46" ht="12">
      <c r="A46" t="s">
        <v>1703</v>
      </c>
    </row>
    <row r="47" ht="12">
      <c r="A47" t="s">
        <v>76</v>
      </c>
    </row>
    <row r="48" ht="12">
      <c r="A48" t="s">
        <v>77</v>
      </c>
    </row>
    <row r="49" ht="12">
      <c r="A49" t="s">
        <v>78</v>
      </c>
    </row>
    <row r="50" ht="12">
      <c r="A50" t="s">
        <v>1706</v>
      </c>
    </row>
    <row r="51" ht="12">
      <c r="A51" t="s">
        <v>79</v>
      </c>
    </row>
    <row r="52" ht="12">
      <c r="A52" t="s">
        <v>80</v>
      </c>
    </row>
    <row r="53" ht="12">
      <c r="A53" t="s">
        <v>81</v>
      </c>
    </row>
    <row r="54" ht="12">
      <c r="A54" t="s">
        <v>82</v>
      </c>
    </row>
    <row r="55" ht="12">
      <c r="A55" t="s">
        <v>83</v>
      </c>
    </row>
    <row r="56" ht="12">
      <c r="A56" t="s">
        <v>84</v>
      </c>
    </row>
    <row r="57" ht="12">
      <c r="A57" t="s">
        <v>85</v>
      </c>
    </row>
    <row r="58" ht="12">
      <c r="A58" t="s">
        <v>86</v>
      </c>
    </row>
    <row r="59" ht="12">
      <c r="A59" t="s">
        <v>87</v>
      </c>
    </row>
    <row r="60" ht="12">
      <c r="A60" t="s">
        <v>88</v>
      </c>
    </row>
    <row r="61" ht="12">
      <c r="A61" t="s">
        <v>89</v>
      </c>
    </row>
    <row r="62" ht="12">
      <c r="A62" t="s">
        <v>1706</v>
      </c>
    </row>
    <row r="63" ht="12">
      <c r="A63" t="s">
        <v>66</v>
      </c>
    </row>
    <row r="64" ht="12">
      <c r="A64" t="s">
        <v>67</v>
      </c>
    </row>
  </sheetData>
  <mergeCells count="2">
    <mergeCell ref="C6:D6"/>
    <mergeCell ref="E6:F6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O78"/>
  <sheetViews>
    <sheetView workbookViewId="0" topLeftCell="A1">
      <selection activeCell="A1" sqref="A1:D3"/>
    </sheetView>
  </sheetViews>
  <sheetFormatPr defaultColWidth="9.00390625" defaultRowHeight="12.75"/>
  <cols>
    <col min="1" max="1" width="30.875" style="0" customWidth="1"/>
    <col min="2" max="2" width="10.50390625" style="0" customWidth="1"/>
    <col min="3" max="3" width="11.125" style="0" customWidth="1"/>
    <col min="4" max="4" width="13.625" style="0" customWidth="1"/>
    <col min="5" max="5" width="11.875" style="0" customWidth="1"/>
    <col min="6" max="6" width="11.00390625" style="0" customWidth="1"/>
    <col min="7" max="7" width="10.875" style="0" customWidth="1"/>
    <col min="9" max="9" width="13.125" style="0" customWidth="1"/>
    <col min="10" max="10" width="7.125" style="0" customWidth="1"/>
    <col min="11" max="11" width="10.125" style="0" customWidth="1"/>
    <col min="12" max="12" width="10.375" style="0" customWidth="1"/>
    <col min="13" max="13" width="10.50390625" style="0" customWidth="1"/>
    <col min="14" max="14" width="6.625" style="0" customWidth="1"/>
    <col min="15" max="15" width="6.125" style="0" customWidth="1"/>
  </cols>
  <sheetData>
    <row r="1" spans="1:4" ht="12">
      <c r="A1" t="s">
        <v>1698</v>
      </c>
      <c r="B1">
        <v>3</v>
      </c>
      <c r="C1" t="s">
        <v>1699</v>
      </c>
      <c r="D1">
        <v>4</v>
      </c>
    </row>
    <row r="2" spans="1:2" ht="12">
      <c r="A2" t="s">
        <v>1700</v>
      </c>
      <c r="B2">
        <v>15</v>
      </c>
    </row>
    <row r="3" spans="1:2" ht="12">
      <c r="A3" t="s">
        <v>1701</v>
      </c>
      <c r="B3">
        <v>0</v>
      </c>
    </row>
    <row r="5" spans="1:15" ht="12">
      <c r="A5" t="s">
        <v>305</v>
      </c>
      <c r="I5" s="37" t="s">
        <v>1646</v>
      </c>
      <c r="J5" s="29"/>
      <c r="K5" s="29"/>
      <c r="L5" s="29"/>
      <c r="M5" s="29"/>
      <c r="N5" s="29"/>
      <c r="O5" s="29"/>
    </row>
    <row r="6" spans="2:15" ht="24.75">
      <c r="B6" s="1" t="s">
        <v>1610</v>
      </c>
      <c r="C6" s="1" t="s">
        <v>115</v>
      </c>
      <c r="D6" s="1" t="s">
        <v>116</v>
      </c>
      <c r="E6" s="1" t="s">
        <v>116</v>
      </c>
      <c r="I6" s="19"/>
      <c r="J6" s="39"/>
      <c r="K6" s="39"/>
      <c r="L6" s="39"/>
      <c r="M6" s="39"/>
      <c r="N6" s="39"/>
      <c r="O6" s="39"/>
    </row>
    <row r="7" spans="2:15" ht="12">
      <c r="B7" s="1" t="s">
        <v>114</v>
      </c>
      <c r="C7" s="1" t="s">
        <v>114</v>
      </c>
      <c r="D7" s="1" t="s">
        <v>114</v>
      </c>
      <c r="E7" s="1" t="s">
        <v>117</v>
      </c>
      <c r="I7" s="19"/>
      <c r="J7" s="39"/>
      <c r="K7" s="39"/>
      <c r="L7" s="39"/>
      <c r="M7" s="39"/>
      <c r="N7" s="39"/>
      <c r="O7" s="39"/>
    </row>
    <row r="8" spans="1:15" ht="24.75">
      <c r="A8" t="s">
        <v>1176</v>
      </c>
      <c r="B8" s="14" t="s">
        <v>668</v>
      </c>
      <c r="C8" s="14" t="s">
        <v>669</v>
      </c>
      <c r="D8" s="14" t="s">
        <v>1264</v>
      </c>
      <c r="E8" s="14" t="s">
        <v>1265</v>
      </c>
      <c r="F8" s="14"/>
      <c r="G8" s="14"/>
      <c r="I8" s="19"/>
      <c r="J8" s="42" t="str">
        <f>B6</f>
        <v>All</v>
      </c>
      <c r="K8" s="42" t="str">
        <f>C6</f>
        <v>RAS only </v>
      </c>
      <c r="L8" s="42" t="str">
        <f>D6</f>
        <v>GAAP/IAS only </v>
      </c>
      <c r="M8" s="42" t="str">
        <f>E6</f>
        <v>GAAP/IAS only </v>
      </c>
      <c r="N8" s="19"/>
      <c r="O8" s="19"/>
    </row>
    <row r="9" spans="1:15" ht="12">
      <c r="A9" s="18" t="s">
        <v>323</v>
      </c>
      <c r="B9" s="17"/>
      <c r="C9" s="17"/>
      <c r="D9" s="17"/>
      <c r="E9" s="17"/>
      <c r="F9" s="17">
        <v>2</v>
      </c>
      <c r="G9" s="17"/>
      <c r="I9" s="19"/>
      <c r="J9" s="41" t="s">
        <v>1610</v>
      </c>
      <c r="K9" s="41" t="s">
        <v>1638</v>
      </c>
      <c r="L9" s="41" t="s">
        <v>1655</v>
      </c>
      <c r="M9" s="41"/>
      <c r="N9" s="36"/>
      <c r="O9" s="36"/>
    </row>
    <row r="10" spans="1:15" ht="12">
      <c r="A10" s="18" t="s">
        <v>1448</v>
      </c>
      <c r="B10" s="17">
        <f aca="true" t="shared" si="0" ref="B10:E12">B31*100</f>
        <v>17.861404</v>
      </c>
      <c r="C10" s="17">
        <f t="shared" si="0"/>
        <v>19.201001</v>
      </c>
      <c r="D10" s="17">
        <f t="shared" si="0"/>
        <v>14.536051</v>
      </c>
      <c r="E10" s="17">
        <f t="shared" si="0"/>
        <v>12.265802</v>
      </c>
      <c r="F10" s="17">
        <v>2</v>
      </c>
      <c r="G10" s="17"/>
      <c r="I10" s="19"/>
      <c r="J10" s="41"/>
      <c r="K10" s="41"/>
      <c r="L10" s="41"/>
      <c r="M10" s="41"/>
      <c r="N10" s="36"/>
      <c r="O10" s="36"/>
    </row>
    <row r="11" spans="1:15" ht="12">
      <c r="A11" t="s">
        <v>1449</v>
      </c>
      <c r="B11" s="17">
        <f t="shared" si="0"/>
        <v>6.933236</v>
      </c>
      <c r="C11" s="17">
        <f t="shared" si="0"/>
        <v>7.11281</v>
      </c>
      <c r="D11" s="17">
        <f t="shared" si="0"/>
        <v>6.737052</v>
      </c>
      <c r="E11" s="17">
        <f t="shared" si="0"/>
        <v>6.567136</v>
      </c>
      <c r="F11" s="17">
        <v>2</v>
      </c>
      <c r="G11" s="17"/>
      <c r="I11" s="19"/>
      <c r="J11" s="41"/>
      <c r="K11" s="41"/>
      <c r="L11" s="41"/>
      <c r="M11" s="41"/>
      <c r="N11" s="36"/>
      <c r="O11" s="36"/>
    </row>
    <row r="12" spans="1:15" ht="12">
      <c r="A12" s="18" t="s">
        <v>1450</v>
      </c>
      <c r="B12" s="17">
        <f t="shared" si="0"/>
        <v>23.762679000000002</v>
      </c>
      <c r="C12" s="17">
        <f t="shared" si="0"/>
        <v>24.892511</v>
      </c>
      <c r="D12" s="17">
        <f t="shared" si="0"/>
        <v>20.45139</v>
      </c>
      <c r="E12" s="17">
        <f t="shared" si="0"/>
        <v>18.009792</v>
      </c>
      <c r="F12" s="17">
        <v>2</v>
      </c>
      <c r="G12" s="17"/>
      <c r="I12" s="19"/>
      <c r="J12" s="41"/>
      <c r="K12" s="41"/>
      <c r="L12" s="41"/>
      <c r="M12" s="41"/>
      <c r="N12" s="36"/>
      <c r="O12" s="36"/>
    </row>
    <row r="13" spans="1:15" ht="12">
      <c r="A13" s="18" t="s">
        <v>1451</v>
      </c>
      <c r="B13" s="24">
        <f>B34</f>
        <v>296</v>
      </c>
      <c r="C13" s="24">
        <f>C34</f>
        <v>211</v>
      </c>
      <c r="D13" s="24">
        <f>D34</f>
        <v>85</v>
      </c>
      <c r="E13" s="24">
        <f>E34</f>
        <v>78</v>
      </c>
      <c r="F13" s="17">
        <v>0</v>
      </c>
      <c r="G13" s="17"/>
      <c r="I13" s="19"/>
      <c r="J13" s="41"/>
      <c r="K13" s="41"/>
      <c r="L13" s="41"/>
      <c r="M13" s="41"/>
      <c r="N13" s="36"/>
      <c r="O13" s="36"/>
    </row>
    <row r="14" spans="1:15" ht="12">
      <c r="A14" s="18" t="s">
        <v>325</v>
      </c>
      <c r="B14" s="17"/>
      <c r="C14" s="17"/>
      <c r="D14" s="17"/>
      <c r="E14" s="17"/>
      <c r="F14" s="17">
        <v>2</v>
      </c>
      <c r="G14" s="17"/>
      <c r="I14" s="19" t="s">
        <v>1649</v>
      </c>
      <c r="J14" s="45">
        <f>B16/100</f>
        <v>0.0072047</v>
      </c>
      <c r="K14" s="45">
        <f aca="true" t="shared" si="1" ref="K14:L24">C16/100</f>
        <v>0.00596317</v>
      </c>
      <c r="L14" s="45">
        <f t="shared" si="1"/>
        <v>0.00936206</v>
      </c>
      <c r="M14" s="36"/>
      <c r="N14" s="36"/>
      <c r="O14" s="36"/>
    </row>
    <row r="15" spans="1:15" ht="12">
      <c r="A15" s="18" t="s">
        <v>1448</v>
      </c>
      <c r="B15" s="17">
        <f aca="true" t="shared" si="2" ref="B15:E17">B36*100</f>
        <v>2.5953299999999997</v>
      </c>
      <c r="C15" s="17">
        <f t="shared" si="2"/>
        <v>2.6917489999999997</v>
      </c>
      <c r="D15" s="17">
        <f t="shared" si="2"/>
        <v>2.331026</v>
      </c>
      <c r="E15" s="17">
        <f t="shared" si="2"/>
        <v>1.251221</v>
      </c>
      <c r="F15" s="17">
        <v>2</v>
      </c>
      <c r="G15" s="17"/>
      <c r="I15" s="19" t="s">
        <v>1515</v>
      </c>
      <c r="J15" s="45">
        <f aca="true" t="shared" si="3" ref="J15:J24">B17/100</f>
        <v>0.04642228</v>
      </c>
      <c r="K15" s="45">
        <f t="shared" si="1"/>
        <v>0.04860612</v>
      </c>
      <c r="L15" s="45">
        <f t="shared" si="1"/>
        <v>0.03997333</v>
      </c>
      <c r="M15" s="17"/>
      <c r="N15" s="17"/>
      <c r="O15" s="17"/>
    </row>
    <row r="16" spans="1:15" ht="12">
      <c r="A16" t="s">
        <v>1449</v>
      </c>
      <c r="B16" s="17">
        <f t="shared" si="2"/>
        <v>0.7204699999999999</v>
      </c>
      <c r="C16" s="17">
        <f t="shared" si="2"/>
        <v>0.596317</v>
      </c>
      <c r="D16" s="17">
        <f t="shared" si="2"/>
        <v>0.936206</v>
      </c>
      <c r="E16" s="17">
        <f t="shared" si="2"/>
        <v>0.7967439999999999</v>
      </c>
      <c r="F16" s="17">
        <v>2</v>
      </c>
      <c r="G16" s="17"/>
      <c r="I16" s="19" t="s">
        <v>1637</v>
      </c>
      <c r="J16" s="45">
        <f t="shared" si="3"/>
        <v>3.18</v>
      </c>
      <c r="K16" s="45">
        <f t="shared" si="1"/>
        <v>2.33</v>
      </c>
      <c r="L16" s="45">
        <f t="shared" si="1"/>
        <v>0.85</v>
      </c>
      <c r="M16" s="17"/>
      <c r="N16" s="17"/>
      <c r="O16" s="17"/>
    </row>
    <row r="17" spans="1:15" ht="12">
      <c r="A17" s="18" t="s">
        <v>1450</v>
      </c>
      <c r="B17" s="17">
        <f t="shared" si="2"/>
        <v>4.642228</v>
      </c>
      <c r="C17" s="17">
        <f t="shared" si="2"/>
        <v>4.860612000000001</v>
      </c>
      <c r="D17" s="17">
        <f t="shared" si="2"/>
        <v>3.9973330000000002</v>
      </c>
      <c r="E17" s="17">
        <f t="shared" si="2"/>
        <v>1.4664760000000001</v>
      </c>
      <c r="F17" s="17">
        <v>2</v>
      </c>
      <c r="G17" s="17"/>
      <c r="I17" s="19" t="s">
        <v>332</v>
      </c>
      <c r="J17" s="45">
        <f t="shared" si="3"/>
        <v>0</v>
      </c>
      <c r="K17" s="45">
        <f t="shared" si="1"/>
        <v>0</v>
      </c>
      <c r="L17" s="45">
        <f t="shared" si="1"/>
        <v>0</v>
      </c>
      <c r="M17" s="17"/>
      <c r="N17" s="17"/>
      <c r="O17" s="17"/>
    </row>
    <row r="18" spans="1:15" ht="12">
      <c r="A18" s="18" t="s">
        <v>1451</v>
      </c>
      <c r="B18" s="24">
        <f>B39</f>
        <v>318</v>
      </c>
      <c r="C18" s="24">
        <f>C39</f>
        <v>233</v>
      </c>
      <c r="D18" s="24">
        <f>D39</f>
        <v>85</v>
      </c>
      <c r="E18" s="24">
        <f>E39</f>
        <v>86</v>
      </c>
      <c r="F18" s="17">
        <v>0</v>
      </c>
      <c r="G18" s="17"/>
      <c r="I18" s="19" t="s">
        <v>318</v>
      </c>
      <c r="J18" s="45">
        <f t="shared" si="3"/>
        <v>0.01629579</v>
      </c>
      <c r="K18" s="45">
        <f t="shared" si="1"/>
        <v>0.01727177</v>
      </c>
      <c r="L18" s="45">
        <f t="shared" si="1"/>
        <v>0.01362292</v>
      </c>
      <c r="M18" s="17"/>
      <c r="N18" s="17"/>
      <c r="O18" s="17"/>
    </row>
    <row r="19" spans="1:15" ht="12">
      <c r="A19" s="18" t="s">
        <v>324</v>
      </c>
      <c r="B19" s="17"/>
      <c r="C19" s="17"/>
      <c r="D19" s="17"/>
      <c r="E19" s="17"/>
      <c r="F19" s="17">
        <v>2</v>
      </c>
      <c r="G19" s="17"/>
      <c r="I19" s="19" t="s">
        <v>1650</v>
      </c>
      <c r="J19" s="45">
        <f t="shared" si="3"/>
        <v>0.0056817</v>
      </c>
      <c r="K19" s="45">
        <f t="shared" si="1"/>
        <v>0.00550636</v>
      </c>
      <c r="L19" s="45">
        <f t="shared" si="1"/>
        <v>0.005909910000000001</v>
      </c>
      <c r="M19" s="17"/>
      <c r="N19" s="17"/>
      <c r="O19" s="17"/>
    </row>
    <row r="20" spans="1:15" ht="12">
      <c r="A20" s="18" t="s">
        <v>1448</v>
      </c>
      <c r="B20" s="17">
        <f aca="true" t="shared" si="4" ref="B20:E22">B41*100</f>
        <v>1.629579</v>
      </c>
      <c r="C20" s="17">
        <f t="shared" si="4"/>
        <v>1.727177</v>
      </c>
      <c r="D20" s="17">
        <f t="shared" si="4"/>
        <v>1.362292</v>
      </c>
      <c r="E20" s="17">
        <f t="shared" si="4"/>
        <v>1.052908</v>
      </c>
      <c r="F20" s="17">
        <v>2</v>
      </c>
      <c r="G20" s="17"/>
      <c r="I20" s="19" t="s">
        <v>326</v>
      </c>
      <c r="J20" s="45">
        <f t="shared" si="3"/>
        <v>0.0256538</v>
      </c>
      <c r="K20" s="45">
        <f t="shared" si="1"/>
        <v>0.02734946</v>
      </c>
      <c r="L20" s="45">
        <f t="shared" si="1"/>
        <v>0.020196179999999998</v>
      </c>
      <c r="M20" s="17"/>
      <c r="N20" s="17"/>
      <c r="O20" s="17"/>
    </row>
    <row r="21" spans="1:15" ht="12">
      <c r="A21" t="s">
        <v>1449</v>
      </c>
      <c r="B21" s="17">
        <f t="shared" si="4"/>
        <v>0.56817</v>
      </c>
      <c r="C21" s="17">
        <f t="shared" si="4"/>
        <v>0.550636</v>
      </c>
      <c r="D21" s="17">
        <f t="shared" si="4"/>
        <v>0.590991</v>
      </c>
      <c r="E21" s="17">
        <f t="shared" si="4"/>
        <v>0.475311</v>
      </c>
      <c r="F21" s="17">
        <v>2</v>
      </c>
      <c r="G21" s="17"/>
      <c r="I21" s="19" t="s">
        <v>1516</v>
      </c>
      <c r="J21" s="45">
        <f t="shared" si="3"/>
        <v>3.29</v>
      </c>
      <c r="K21" s="45">
        <f t="shared" si="1"/>
        <v>2.41</v>
      </c>
      <c r="L21" s="45">
        <f t="shared" si="1"/>
        <v>0.88</v>
      </c>
      <c r="M21" s="17"/>
      <c r="N21" s="17"/>
      <c r="O21" s="17"/>
    </row>
    <row r="22" spans="1:15" ht="12">
      <c r="A22" s="18" t="s">
        <v>1450</v>
      </c>
      <c r="B22" s="17">
        <f t="shared" si="4"/>
        <v>2.56538</v>
      </c>
      <c r="C22" s="17">
        <f t="shared" si="4"/>
        <v>2.734946</v>
      </c>
      <c r="D22" s="17">
        <f t="shared" si="4"/>
        <v>2.019618</v>
      </c>
      <c r="E22" s="17">
        <f t="shared" si="4"/>
        <v>1.787186</v>
      </c>
      <c r="F22" s="17">
        <v>2</v>
      </c>
      <c r="G22" s="17"/>
      <c r="I22" s="19" t="s">
        <v>328</v>
      </c>
      <c r="J22" s="45">
        <f t="shared" si="3"/>
        <v>0</v>
      </c>
      <c r="K22" s="45">
        <f t="shared" si="1"/>
        <v>0</v>
      </c>
      <c r="L22" s="45">
        <f t="shared" si="1"/>
        <v>0</v>
      </c>
      <c r="M22" s="17"/>
      <c r="N22" s="17"/>
      <c r="O22" s="17"/>
    </row>
    <row r="23" spans="1:15" ht="12">
      <c r="A23" s="18" t="s">
        <v>1451</v>
      </c>
      <c r="B23" s="24">
        <f>B44</f>
        <v>329</v>
      </c>
      <c r="C23" s="24">
        <f>C44</f>
        <v>241</v>
      </c>
      <c r="D23" s="24">
        <f>D44</f>
        <v>88</v>
      </c>
      <c r="E23" s="24">
        <f>E44</f>
        <v>88</v>
      </c>
      <c r="F23" s="17">
        <v>0</v>
      </c>
      <c r="G23" s="17"/>
      <c r="I23" s="19" t="s">
        <v>329</v>
      </c>
      <c r="J23" s="45">
        <f t="shared" si="3"/>
        <v>0</v>
      </c>
      <c r="K23" s="45">
        <f t="shared" si="1"/>
        <v>0</v>
      </c>
      <c r="L23" s="45">
        <f t="shared" si="1"/>
        <v>0</v>
      </c>
      <c r="M23" s="17"/>
      <c r="N23" s="17"/>
      <c r="O23" s="17"/>
    </row>
    <row r="24" spans="1:15" ht="12">
      <c r="A24" s="19"/>
      <c r="B24" s="17"/>
      <c r="C24" s="17"/>
      <c r="D24" s="17"/>
      <c r="E24" s="17"/>
      <c r="F24" s="17"/>
      <c r="G24" s="17"/>
      <c r="I24" s="19" t="s">
        <v>1651</v>
      </c>
      <c r="J24" s="45">
        <f t="shared" si="3"/>
        <v>0</v>
      </c>
      <c r="K24" s="45">
        <f t="shared" si="1"/>
        <v>0</v>
      </c>
      <c r="L24" s="45">
        <f t="shared" si="1"/>
        <v>0</v>
      </c>
      <c r="M24" s="17"/>
      <c r="N24" s="17"/>
      <c r="O24" s="17"/>
    </row>
    <row r="25" spans="1:15" ht="12">
      <c r="A25" s="19"/>
      <c r="B25" s="17"/>
      <c r="C25" s="17"/>
      <c r="D25" s="17"/>
      <c r="E25" s="17"/>
      <c r="F25" s="17"/>
      <c r="G25" s="17"/>
      <c r="I25" t="s">
        <v>315</v>
      </c>
      <c r="J25" s="40">
        <f>B27</f>
        <v>0</v>
      </c>
      <c r="K25" s="40">
        <f>C27</f>
        <v>0</v>
      </c>
      <c r="L25" s="40">
        <f>D27</f>
        <v>0</v>
      </c>
      <c r="M25" s="17"/>
      <c r="N25" s="17"/>
      <c r="O25" s="17"/>
    </row>
    <row r="26" spans="1:7" ht="12">
      <c r="A26" s="19"/>
      <c r="B26" s="17"/>
      <c r="C26" s="17"/>
      <c r="D26" s="17"/>
      <c r="E26" s="17"/>
      <c r="F26" s="17"/>
      <c r="G26" s="17"/>
    </row>
    <row r="27" spans="9:12" ht="12">
      <c r="I27" s="38" t="s">
        <v>1631</v>
      </c>
      <c r="J27" s="19"/>
      <c r="K27" s="19"/>
      <c r="L27" s="19"/>
    </row>
    <row r="28" spans="2:15" ht="12">
      <c r="B28" s="20"/>
      <c r="C28" s="17"/>
      <c r="I28" s="19"/>
      <c r="J28" s="39"/>
      <c r="K28" s="39"/>
      <c r="L28" s="34"/>
      <c r="M28" s="19"/>
      <c r="N28" s="19"/>
      <c r="O28" s="19"/>
    </row>
    <row r="29" spans="2:15" ht="24.75">
      <c r="B29" t="s">
        <v>1154</v>
      </c>
      <c r="C29" t="s">
        <v>1155</v>
      </c>
      <c r="D29" t="s">
        <v>1156</v>
      </c>
      <c r="E29" t="s">
        <v>1157</v>
      </c>
      <c r="I29" s="19"/>
      <c r="J29" s="42" t="s">
        <v>1621</v>
      </c>
      <c r="K29" s="42" t="s">
        <v>1652</v>
      </c>
      <c r="L29" s="42" t="s">
        <v>1653</v>
      </c>
      <c r="M29" s="42" t="s">
        <v>1654</v>
      </c>
      <c r="N29" s="39"/>
      <c r="O29" s="39"/>
    </row>
    <row r="30" spans="1:15" ht="12">
      <c r="A30" t="s">
        <v>1158</v>
      </c>
      <c r="B30" s="11">
        <v>0</v>
      </c>
      <c r="C30" s="11">
        <v>0</v>
      </c>
      <c r="D30" s="11">
        <v>0</v>
      </c>
      <c r="E30" s="11">
        <v>0</v>
      </c>
      <c r="F30" s="11"/>
      <c r="G30" s="11"/>
      <c r="I30" s="19" t="s">
        <v>1664</v>
      </c>
      <c r="J30" s="48">
        <f>B9/100</f>
        <v>0</v>
      </c>
      <c r="K30" s="48">
        <f>C9/100</f>
        <v>0</v>
      </c>
      <c r="L30" s="48">
        <f>D9/100</f>
        <v>0</v>
      </c>
      <c r="M30" s="48">
        <f>E9/100</f>
        <v>0</v>
      </c>
      <c r="N30" s="19"/>
      <c r="O30" s="19"/>
    </row>
    <row r="31" spans="1:15" ht="12">
      <c r="A31" t="s">
        <v>1159</v>
      </c>
      <c r="B31" s="11">
        <v>0.17861404</v>
      </c>
      <c r="C31" s="11">
        <v>0.19201001</v>
      </c>
      <c r="D31" s="11">
        <v>0.14536051</v>
      </c>
      <c r="E31" s="11">
        <v>0.12265802</v>
      </c>
      <c r="F31" s="11"/>
      <c r="G31" s="11"/>
      <c r="I31" s="19" t="s">
        <v>1665</v>
      </c>
      <c r="J31" s="48">
        <f aca="true" t="shared" si="5" ref="J31:M32">B14/100</f>
        <v>0</v>
      </c>
      <c r="K31" s="48">
        <f t="shared" si="5"/>
        <v>0</v>
      </c>
      <c r="L31" s="48">
        <f t="shared" si="5"/>
        <v>0</v>
      </c>
      <c r="M31" s="48">
        <f t="shared" si="5"/>
        <v>0</v>
      </c>
      <c r="N31" s="36"/>
      <c r="O31" s="36"/>
    </row>
    <row r="32" spans="1:15" ht="12">
      <c r="A32" t="s">
        <v>1160</v>
      </c>
      <c r="B32" s="11">
        <v>0.06933236</v>
      </c>
      <c r="C32" s="11">
        <v>0.0711281</v>
      </c>
      <c r="D32" s="11">
        <v>0.06737052</v>
      </c>
      <c r="E32" s="11">
        <v>0.06567136</v>
      </c>
      <c r="F32" s="11"/>
      <c r="G32" s="11"/>
      <c r="I32" s="19" t="s">
        <v>1666</v>
      </c>
      <c r="J32" s="48">
        <f t="shared" si="5"/>
        <v>0.0259533</v>
      </c>
      <c r="K32" s="48">
        <f t="shared" si="5"/>
        <v>0.02691749</v>
      </c>
      <c r="L32" s="48">
        <f t="shared" si="5"/>
        <v>0.02331026</v>
      </c>
      <c r="M32" s="48">
        <f t="shared" si="5"/>
        <v>0.01251221</v>
      </c>
      <c r="N32" s="36"/>
      <c r="O32" s="36"/>
    </row>
    <row r="33" spans="1:15" ht="12">
      <c r="A33" t="s">
        <v>1161</v>
      </c>
      <c r="B33">
        <v>0.23762679</v>
      </c>
      <c r="C33">
        <v>0.24892511</v>
      </c>
      <c r="D33">
        <v>0.2045139</v>
      </c>
      <c r="E33">
        <v>0.18009792</v>
      </c>
      <c r="I33" s="19" t="s">
        <v>315</v>
      </c>
      <c r="J33" s="19">
        <f>B27</f>
        <v>0</v>
      </c>
      <c r="K33" s="19">
        <f>C27</f>
        <v>0</v>
      </c>
      <c r="L33" s="19">
        <f>D27</f>
        <v>0</v>
      </c>
      <c r="M33" s="19">
        <f>E27</f>
        <v>0</v>
      </c>
      <c r="N33" s="36"/>
      <c r="O33" s="36"/>
    </row>
    <row r="34" spans="1:15" ht="12">
      <c r="A34" t="s">
        <v>1162</v>
      </c>
      <c r="B34">
        <v>296</v>
      </c>
      <c r="C34">
        <v>211</v>
      </c>
      <c r="D34">
        <v>85</v>
      </c>
      <c r="E34">
        <v>78</v>
      </c>
      <c r="M34" s="19"/>
      <c r="N34" s="19"/>
      <c r="O34" s="19"/>
    </row>
    <row r="35" spans="1:5" ht="12">
      <c r="A35" t="s">
        <v>1163</v>
      </c>
      <c r="B35">
        <v>0</v>
      </c>
      <c r="C35">
        <v>0</v>
      </c>
      <c r="D35">
        <v>0</v>
      </c>
      <c r="E35">
        <v>0</v>
      </c>
    </row>
    <row r="36" spans="1:5" ht="12">
      <c r="A36" t="s">
        <v>1164</v>
      </c>
      <c r="B36">
        <v>0.0259533</v>
      </c>
      <c r="C36">
        <v>0.02691749</v>
      </c>
      <c r="D36">
        <v>0.02331026</v>
      </c>
      <c r="E36">
        <v>0.01251221</v>
      </c>
    </row>
    <row r="37" spans="1:5" ht="12">
      <c r="A37" t="s">
        <v>1165</v>
      </c>
      <c r="B37">
        <v>0.0072047</v>
      </c>
      <c r="C37">
        <v>0.00596317</v>
      </c>
      <c r="D37">
        <v>0.00936206</v>
      </c>
      <c r="E37">
        <v>0.00796744</v>
      </c>
    </row>
    <row r="38" spans="1:5" ht="12">
      <c r="A38" t="s">
        <v>1166</v>
      </c>
      <c r="B38">
        <v>0.04642228</v>
      </c>
      <c r="C38">
        <v>0.04860612</v>
      </c>
      <c r="D38">
        <v>0.03997333</v>
      </c>
      <c r="E38">
        <v>0.01466476</v>
      </c>
    </row>
    <row r="39" spans="1:5" ht="12">
      <c r="A39" t="s">
        <v>1167</v>
      </c>
      <c r="B39">
        <v>318</v>
      </c>
      <c r="C39">
        <v>233</v>
      </c>
      <c r="D39">
        <v>85</v>
      </c>
      <c r="E39">
        <v>86</v>
      </c>
    </row>
    <row r="40" spans="1:5" ht="12">
      <c r="A40" t="s">
        <v>1168</v>
      </c>
      <c r="B40">
        <v>0</v>
      </c>
      <c r="C40">
        <v>0</v>
      </c>
      <c r="D40">
        <v>0</v>
      </c>
      <c r="E40">
        <v>0</v>
      </c>
    </row>
    <row r="41" spans="1:5" ht="12">
      <c r="A41" t="s">
        <v>1169</v>
      </c>
      <c r="B41">
        <v>0.01629579</v>
      </c>
      <c r="C41">
        <v>0.01727177</v>
      </c>
      <c r="D41">
        <v>0.01362292</v>
      </c>
      <c r="E41">
        <v>0.01052908</v>
      </c>
    </row>
    <row r="42" spans="1:5" ht="12">
      <c r="A42" t="s">
        <v>1170</v>
      </c>
      <c r="B42">
        <v>0.0056817</v>
      </c>
      <c r="C42">
        <v>0.00550636</v>
      </c>
      <c r="D42">
        <v>0.00590991</v>
      </c>
      <c r="E42">
        <v>0.00475311</v>
      </c>
    </row>
    <row r="43" spans="1:5" ht="12">
      <c r="A43" t="s">
        <v>1171</v>
      </c>
      <c r="B43">
        <v>0.0256538</v>
      </c>
      <c r="C43">
        <v>0.02734946</v>
      </c>
      <c r="D43">
        <v>0.02019618</v>
      </c>
      <c r="E43">
        <v>0.01787186</v>
      </c>
    </row>
    <row r="44" spans="1:5" ht="12">
      <c r="A44" t="s">
        <v>1172</v>
      </c>
      <c r="B44">
        <v>329</v>
      </c>
      <c r="C44">
        <v>241</v>
      </c>
      <c r="D44">
        <v>88</v>
      </c>
      <c r="E44">
        <v>88</v>
      </c>
    </row>
    <row r="46" spans="1:5" ht="12">
      <c r="A46" t="s">
        <v>1174</v>
      </c>
      <c r="B46">
        <v>0.10555556</v>
      </c>
      <c r="C46">
        <v>0.04379562</v>
      </c>
      <c r="D46">
        <v>0.31632653</v>
      </c>
      <c r="E46">
        <v>0</v>
      </c>
    </row>
    <row r="47" spans="1:5" ht="12">
      <c r="A47" t="s">
        <v>1175</v>
      </c>
      <c r="B47">
        <v>0.21666667</v>
      </c>
      <c r="C47">
        <v>0.1350365</v>
      </c>
      <c r="D47">
        <v>0.44897959</v>
      </c>
      <c r="E47">
        <v>0</v>
      </c>
    </row>
    <row r="48" spans="1:5" ht="12">
      <c r="A48" t="s">
        <v>1254</v>
      </c>
      <c r="B48">
        <v>0.69444444</v>
      </c>
      <c r="C48">
        <v>0.63138686</v>
      </c>
      <c r="D48">
        <v>0.90816327</v>
      </c>
      <c r="E48">
        <v>0</v>
      </c>
    </row>
    <row r="49" spans="1:5" ht="12">
      <c r="A49" t="s">
        <v>1582</v>
      </c>
      <c r="B49">
        <v>180</v>
      </c>
      <c r="C49">
        <v>137</v>
      </c>
      <c r="D49">
        <v>49</v>
      </c>
      <c r="E49">
        <v>49</v>
      </c>
    </row>
    <row r="55" ht="12">
      <c r="A55" t="s">
        <v>90</v>
      </c>
    </row>
    <row r="56" ht="12">
      <c r="A56" t="s">
        <v>1703</v>
      </c>
    </row>
    <row r="57" ht="12">
      <c r="A57" t="s">
        <v>118</v>
      </c>
    </row>
    <row r="58" ht="12">
      <c r="A58" t="s">
        <v>119</v>
      </c>
    </row>
    <row r="59" ht="12">
      <c r="A59" t="s">
        <v>120</v>
      </c>
    </row>
    <row r="60" ht="12">
      <c r="A60" t="s">
        <v>1706</v>
      </c>
    </row>
    <row r="61" ht="12">
      <c r="A61" t="s">
        <v>1445</v>
      </c>
    </row>
    <row r="62" ht="12">
      <c r="A62" t="s">
        <v>1452</v>
      </c>
    </row>
    <row r="63" ht="12">
      <c r="A63" t="s">
        <v>1453</v>
      </c>
    </row>
    <row r="64" ht="12">
      <c r="A64" t="s">
        <v>1454</v>
      </c>
    </row>
    <row r="65" ht="12">
      <c r="A65" t="s">
        <v>1455</v>
      </c>
    </row>
    <row r="66" ht="12">
      <c r="A66" t="s">
        <v>1446</v>
      </c>
    </row>
    <row r="67" ht="12">
      <c r="A67" t="s">
        <v>1456</v>
      </c>
    </row>
    <row r="68" ht="12">
      <c r="A68" t="s">
        <v>1457</v>
      </c>
    </row>
    <row r="69" ht="12">
      <c r="A69" t="s">
        <v>1458</v>
      </c>
    </row>
    <row r="70" ht="12">
      <c r="A70" t="s">
        <v>1459</v>
      </c>
    </row>
    <row r="71" ht="12">
      <c r="A71" t="s">
        <v>1447</v>
      </c>
    </row>
    <row r="72" ht="12">
      <c r="A72" t="s">
        <v>1460</v>
      </c>
    </row>
    <row r="73" ht="12">
      <c r="A73" t="s">
        <v>1461</v>
      </c>
    </row>
    <row r="74" ht="12">
      <c r="A74" t="s">
        <v>1462</v>
      </c>
    </row>
    <row r="75" ht="12">
      <c r="A75" t="s">
        <v>1463</v>
      </c>
    </row>
    <row r="76" ht="12">
      <c r="A76" t="s">
        <v>1706</v>
      </c>
    </row>
    <row r="77" ht="12">
      <c r="A77" t="s">
        <v>66</v>
      </c>
    </row>
    <row r="78" ht="12">
      <c r="A78" t="s">
        <v>67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4"/>
  <dimension ref="A1:J81"/>
  <sheetViews>
    <sheetView workbookViewId="0" topLeftCell="A1">
      <selection activeCell="E15" sqref="E15"/>
    </sheetView>
  </sheetViews>
  <sheetFormatPr defaultColWidth="9.00390625" defaultRowHeight="12.75"/>
  <cols>
    <col min="1" max="1" width="15.875" style="0" customWidth="1"/>
    <col min="3" max="3" width="11.50390625" style="0" customWidth="1"/>
    <col min="4" max="4" width="10.125" style="0" customWidth="1"/>
    <col min="5" max="5" width="9.50390625" style="0" customWidth="1"/>
  </cols>
  <sheetData>
    <row r="1" spans="1:4" ht="12">
      <c r="A1" t="s">
        <v>1698</v>
      </c>
      <c r="B1">
        <v>1</v>
      </c>
      <c r="C1" t="s">
        <v>1699</v>
      </c>
      <c r="D1">
        <v>4</v>
      </c>
    </row>
    <row r="2" spans="1:2" ht="12">
      <c r="A2" t="s">
        <v>1700</v>
      </c>
      <c r="B2">
        <v>20</v>
      </c>
    </row>
    <row r="3" spans="1:2" ht="12">
      <c r="A3" t="s">
        <v>1701</v>
      </c>
      <c r="B3">
        <v>0</v>
      </c>
    </row>
    <row r="5" ht="18" customHeight="1">
      <c r="A5" t="s">
        <v>306</v>
      </c>
    </row>
    <row r="6" spans="1:5" ht="12">
      <c r="A6" t="s">
        <v>656</v>
      </c>
      <c r="B6" t="s">
        <v>1537</v>
      </c>
      <c r="C6" t="s">
        <v>1576</v>
      </c>
      <c r="D6" t="s">
        <v>1577</v>
      </c>
      <c r="E6" t="s">
        <v>1578</v>
      </c>
    </row>
    <row r="7" spans="1:10" ht="12">
      <c r="A7" t="s">
        <v>1557</v>
      </c>
      <c r="B7" t="s">
        <v>1538</v>
      </c>
      <c r="C7" s="22">
        <f aca="true" t="shared" si="0" ref="C7:D26">C30/30/10^6</f>
        <v>573</v>
      </c>
      <c r="D7" s="22">
        <f t="shared" si="0"/>
        <v>805</v>
      </c>
      <c r="E7" s="22">
        <f>D7+C7</f>
        <v>1378</v>
      </c>
      <c r="F7">
        <v>2</v>
      </c>
      <c r="H7" s="22">
        <v>1</v>
      </c>
      <c r="J7" t="str">
        <f>CONCATENATE("replace incl_ticker=",H7," if ticker==""",B7,"""")</f>
        <v>replace incl_ticker=1 if ticker=="GAZP"</v>
      </c>
    </row>
    <row r="8" spans="1:10" ht="12">
      <c r="A8" t="s">
        <v>1558</v>
      </c>
      <c r="B8" t="s">
        <v>1539</v>
      </c>
      <c r="C8" s="22">
        <f t="shared" si="0"/>
        <v>318.4666666666667</v>
      </c>
      <c r="D8" s="22">
        <f t="shared" si="0"/>
        <v>97.7</v>
      </c>
      <c r="E8" s="22">
        <f aca="true" t="shared" si="1" ref="E8:E26">D8+C8</f>
        <v>416.1666666666667</v>
      </c>
      <c r="F8">
        <v>2</v>
      </c>
      <c r="H8" s="22">
        <v>2</v>
      </c>
      <c r="J8" t="str">
        <f aca="true" t="shared" si="2" ref="J8:J26">CONCATENATE("replace incl_ticker=",H8," if ticker==""",B8,"""")</f>
        <v>replace incl_ticker=2 if ticker=="LKOH"</v>
      </c>
    </row>
    <row r="9" spans="1:10" ht="12">
      <c r="A9" t="s">
        <v>1559</v>
      </c>
      <c r="B9" t="s">
        <v>1540</v>
      </c>
      <c r="C9" s="22">
        <f t="shared" si="0"/>
        <v>212.3</v>
      </c>
      <c r="D9" s="22">
        <f t="shared" si="0"/>
        <v>168.43333333333334</v>
      </c>
      <c r="E9" s="22">
        <f t="shared" si="1"/>
        <v>380.73333333333335</v>
      </c>
      <c r="F9">
        <v>2</v>
      </c>
      <c r="H9" s="22">
        <v>3</v>
      </c>
      <c r="J9" t="str">
        <f t="shared" si="2"/>
        <v>replace incl_ticker=3 if ticker=="EESR"</v>
      </c>
    </row>
    <row r="10" spans="1:10" ht="12">
      <c r="A10" t="s">
        <v>1568</v>
      </c>
      <c r="B10" t="s">
        <v>1549</v>
      </c>
      <c r="C10" s="22">
        <f t="shared" si="0"/>
        <v>226.56666666666666</v>
      </c>
      <c r="D10" s="22">
        <f t="shared" si="0"/>
        <v>65.03333333333333</v>
      </c>
      <c r="E10" s="22">
        <f t="shared" si="1"/>
        <v>291.6</v>
      </c>
      <c r="F10">
        <v>2</v>
      </c>
      <c r="H10" s="22">
        <v>4</v>
      </c>
      <c r="J10" t="str">
        <f t="shared" si="2"/>
        <v>replace incl_ticker=4 if ticker=="TNKO"</v>
      </c>
    </row>
    <row r="11" spans="1:10" ht="12">
      <c r="A11" t="s">
        <v>1562</v>
      </c>
      <c r="B11" t="s">
        <v>1543</v>
      </c>
      <c r="C11" s="22">
        <f t="shared" si="0"/>
        <v>192.26666666666665</v>
      </c>
      <c r="D11" s="22">
        <f t="shared" si="0"/>
        <v>19.326666666666668</v>
      </c>
      <c r="E11" s="22">
        <f t="shared" si="1"/>
        <v>211.5933333333333</v>
      </c>
      <c r="F11">
        <v>2</v>
      </c>
      <c r="H11" s="22">
        <v>5</v>
      </c>
      <c r="J11" t="str">
        <f t="shared" si="2"/>
        <v>replace incl_ticker=5 if ticker=="SDNK"</v>
      </c>
    </row>
    <row r="12" spans="1:10" ht="12">
      <c r="A12" t="s">
        <v>1561</v>
      </c>
      <c r="B12" t="s">
        <v>1542</v>
      </c>
      <c r="C12" s="22">
        <f t="shared" si="0"/>
        <v>96.36666666666667</v>
      </c>
      <c r="D12" s="22">
        <f t="shared" si="0"/>
        <v>97.6</v>
      </c>
      <c r="E12" s="22">
        <f t="shared" si="1"/>
        <v>193.96666666666667</v>
      </c>
      <c r="F12">
        <v>2</v>
      </c>
      <c r="H12" s="22">
        <v>6</v>
      </c>
      <c r="J12" t="str">
        <f t="shared" si="2"/>
        <v>replace incl_ticker=6 if ticker=="ROSN"</v>
      </c>
    </row>
    <row r="13" spans="1:10" ht="12">
      <c r="A13" t="s">
        <v>1560</v>
      </c>
      <c r="B13" t="s">
        <v>1541</v>
      </c>
      <c r="C13" s="22">
        <f t="shared" si="0"/>
        <v>56.166666666666664</v>
      </c>
      <c r="D13" s="22">
        <f t="shared" si="0"/>
        <v>136.2</v>
      </c>
      <c r="E13" s="22">
        <f t="shared" si="1"/>
        <v>192.36666666666665</v>
      </c>
      <c r="F13">
        <v>2</v>
      </c>
      <c r="H13" s="22">
        <v>7</v>
      </c>
      <c r="J13" t="str">
        <f t="shared" si="2"/>
        <v>replace incl_ticker=7 if ticker=="SLAV"</v>
      </c>
    </row>
    <row r="14" spans="1:10" ht="12">
      <c r="A14" t="s">
        <v>1569</v>
      </c>
      <c r="B14" t="s">
        <v>1550</v>
      </c>
      <c r="C14" s="22">
        <f t="shared" si="0"/>
        <v>132.6</v>
      </c>
      <c r="D14" s="22">
        <f t="shared" si="0"/>
        <v>24.363333333333333</v>
      </c>
      <c r="E14" s="22">
        <f t="shared" si="1"/>
        <v>156.96333333333334</v>
      </c>
      <c r="F14">
        <v>2</v>
      </c>
      <c r="H14" s="22">
        <v>8</v>
      </c>
      <c r="J14" t="str">
        <f t="shared" si="2"/>
        <v>replace incl_ticker=8 if ticker=="MSNG"</v>
      </c>
    </row>
    <row r="15" spans="1:10" ht="12">
      <c r="A15" t="s">
        <v>1564</v>
      </c>
      <c r="B15" t="s">
        <v>1545</v>
      </c>
      <c r="C15" s="22">
        <f t="shared" si="0"/>
        <v>34.03333333333334</v>
      </c>
      <c r="D15" s="22">
        <f t="shared" si="0"/>
        <v>114.26666666666667</v>
      </c>
      <c r="E15" s="22">
        <f t="shared" si="1"/>
        <v>148.3</v>
      </c>
      <c r="F15">
        <v>2</v>
      </c>
      <c r="H15" s="22">
        <v>9</v>
      </c>
      <c r="J15" t="str">
        <f t="shared" si="2"/>
        <v>replace incl_ticker=9 if ticker=="RZHD"</v>
      </c>
    </row>
    <row r="16" spans="1:10" ht="12">
      <c r="A16" t="s">
        <v>1563</v>
      </c>
      <c r="B16" t="s">
        <v>1544</v>
      </c>
      <c r="C16" s="22">
        <f t="shared" si="0"/>
        <v>26.14333333333333</v>
      </c>
      <c r="D16" s="22">
        <f t="shared" si="0"/>
        <v>117</v>
      </c>
      <c r="E16" s="22">
        <f t="shared" si="1"/>
        <v>143.14333333333332</v>
      </c>
      <c r="F16">
        <v>2</v>
      </c>
      <c r="H16" s="22">
        <v>10</v>
      </c>
      <c r="J16" t="str">
        <f t="shared" si="2"/>
        <v>replace incl_ticker=10 if ticker=="CHMF"</v>
      </c>
    </row>
    <row r="17" spans="1:10" ht="12">
      <c r="A17" t="s">
        <v>1566</v>
      </c>
      <c r="B17" t="s">
        <v>1547</v>
      </c>
      <c r="C17" s="22">
        <f t="shared" si="0"/>
        <v>66.3</v>
      </c>
      <c r="D17" s="22">
        <f t="shared" si="0"/>
        <v>59.93333333333334</v>
      </c>
      <c r="E17" s="22">
        <f t="shared" si="1"/>
        <v>126.23333333333333</v>
      </c>
      <c r="F17">
        <v>2</v>
      </c>
      <c r="H17" s="22">
        <v>11</v>
      </c>
      <c r="J17" t="str">
        <f t="shared" si="2"/>
        <v>replace incl_ticker=11 if ticker=="NLMK"</v>
      </c>
    </row>
    <row r="18" spans="1:10" ht="12">
      <c r="A18" t="s">
        <v>1565</v>
      </c>
      <c r="B18" t="s">
        <v>1546</v>
      </c>
      <c r="C18" s="22">
        <f t="shared" si="0"/>
        <v>98.23333333333333</v>
      </c>
      <c r="D18" s="22">
        <f t="shared" si="0"/>
        <v>21.136666666666667</v>
      </c>
      <c r="E18" s="22">
        <f t="shared" si="1"/>
        <v>119.37</v>
      </c>
      <c r="F18">
        <v>2</v>
      </c>
      <c r="H18" s="22">
        <v>12</v>
      </c>
      <c r="J18" t="str">
        <f t="shared" si="2"/>
        <v>replace incl_ticker=12 if ticker=="TATN"</v>
      </c>
    </row>
    <row r="19" spans="1:10" ht="12">
      <c r="A19" t="s">
        <v>1571</v>
      </c>
      <c r="B19" t="s">
        <v>1553</v>
      </c>
      <c r="C19" s="22">
        <f t="shared" si="0"/>
        <v>38.96666666666666</v>
      </c>
      <c r="D19" s="22">
        <f t="shared" si="0"/>
        <v>78.83333333333333</v>
      </c>
      <c r="E19" s="22">
        <f t="shared" si="1"/>
        <v>117.79999999999998</v>
      </c>
      <c r="F19">
        <v>2</v>
      </c>
      <c r="H19" s="22">
        <v>13</v>
      </c>
      <c r="J19" t="str">
        <f t="shared" si="2"/>
        <v>replace incl_ticker=13 if ticker=="SNOZ"</v>
      </c>
    </row>
    <row r="20" spans="1:10" ht="12">
      <c r="A20" t="s">
        <v>1573</v>
      </c>
      <c r="B20" t="s">
        <v>1555</v>
      </c>
      <c r="C20" s="22">
        <f t="shared" si="0"/>
        <v>31.92</v>
      </c>
      <c r="D20" s="22">
        <f t="shared" si="0"/>
        <v>64.53333333333333</v>
      </c>
      <c r="E20" s="22">
        <f t="shared" si="1"/>
        <v>96.45333333333333</v>
      </c>
      <c r="F20">
        <v>2</v>
      </c>
      <c r="H20" s="22">
        <v>14</v>
      </c>
      <c r="J20" t="str">
        <f t="shared" si="2"/>
        <v>replace incl_ticker=14 if ticker=="RTKM"</v>
      </c>
    </row>
    <row r="21" spans="1:10" ht="12">
      <c r="A21" t="s">
        <v>1567</v>
      </c>
      <c r="B21" t="s">
        <v>1548</v>
      </c>
      <c r="C21" s="22">
        <f t="shared" si="0"/>
        <v>25.39666666666667</v>
      </c>
      <c r="D21" s="22">
        <f t="shared" si="0"/>
        <v>37.1</v>
      </c>
      <c r="E21" s="22">
        <f t="shared" si="1"/>
        <v>62.49666666666667</v>
      </c>
      <c r="F21">
        <v>2</v>
      </c>
      <c r="H21" s="22">
        <v>15</v>
      </c>
      <c r="J21" t="str">
        <f t="shared" si="2"/>
        <v>replace incl_ticker=15 if ticker=="GMKN"</v>
      </c>
    </row>
    <row r="22" spans="1:10" ht="12">
      <c r="A22" t="s">
        <v>1570</v>
      </c>
      <c r="B22" t="s">
        <v>1552</v>
      </c>
      <c r="C22" s="22">
        <f t="shared" si="0"/>
        <v>11.163333333333334</v>
      </c>
      <c r="D22" s="22">
        <f t="shared" si="0"/>
        <v>31.58</v>
      </c>
      <c r="E22" s="22">
        <f t="shared" si="1"/>
        <v>42.74333333333333</v>
      </c>
      <c r="F22">
        <v>2</v>
      </c>
      <c r="H22" s="22">
        <v>16</v>
      </c>
      <c r="J22" t="str">
        <f t="shared" si="2"/>
        <v>replace incl_ticker=16 if ticker=="PFGS"</v>
      </c>
    </row>
    <row r="23" spans="1:10" ht="12">
      <c r="A23" t="s">
        <v>1572</v>
      </c>
      <c r="B23" t="s">
        <v>1554</v>
      </c>
      <c r="C23" s="22">
        <f t="shared" si="0"/>
        <v>25.16333333333333</v>
      </c>
      <c r="D23" s="22">
        <f t="shared" si="0"/>
        <v>13.476666666666667</v>
      </c>
      <c r="E23" s="22">
        <f t="shared" si="1"/>
        <v>38.64</v>
      </c>
      <c r="F23">
        <v>2</v>
      </c>
      <c r="H23" s="22">
        <v>17</v>
      </c>
      <c r="J23" t="str">
        <f t="shared" si="2"/>
        <v>replace incl_ticker=17 if ticker=="YUKO"</v>
      </c>
    </row>
    <row r="24" spans="1:10" ht="12">
      <c r="A24" t="s">
        <v>1688</v>
      </c>
      <c r="B24" t="s">
        <v>1687</v>
      </c>
      <c r="C24" s="22">
        <f t="shared" si="0"/>
        <v>12.003333333333334</v>
      </c>
      <c r="D24" s="22">
        <f t="shared" si="0"/>
        <v>20.78</v>
      </c>
      <c r="E24" s="22">
        <f t="shared" si="1"/>
        <v>32.78333333333333</v>
      </c>
      <c r="F24">
        <v>2</v>
      </c>
      <c r="H24" s="22">
        <v>18</v>
      </c>
      <c r="J24" t="str">
        <f t="shared" si="2"/>
        <v>replace incl_ticker=18 if ticker=="AGKK"</v>
      </c>
    </row>
    <row r="25" spans="1:10" ht="12">
      <c r="A25" t="s">
        <v>144</v>
      </c>
      <c r="B25" t="s">
        <v>1551</v>
      </c>
      <c r="C25" s="22">
        <f t="shared" si="0"/>
        <v>15.95</v>
      </c>
      <c r="D25" s="22">
        <f t="shared" si="0"/>
        <v>12.49</v>
      </c>
      <c r="E25" s="22">
        <f t="shared" si="1"/>
        <v>28.439999999999998</v>
      </c>
      <c r="F25">
        <v>2</v>
      </c>
      <c r="H25" s="22">
        <v>19</v>
      </c>
      <c r="J25" t="str">
        <f t="shared" si="2"/>
        <v>replace incl_ticker=19 if ticker=="SIBN"</v>
      </c>
    </row>
    <row r="26" spans="1:10" ht="12">
      <c r="A26" t="s">
        <v>1574</v>
      </c>
      <c r="B26" t="s">
        <v>1556</v>
      </c>
      <c r="C26" s="22">
        <f t="shared" si="0"/>
        <v>4.42</v>
      </c>
      <c r="D26" s="22">
        <f t="shared" si="0"/>
        <v>20.73</v>
      </c>
      <c r="E26" s="22">
        <f t="shared" si="1"/>
        <v>25.15</v>
      </c>
      <c r="F26">
        <v>2</v>
      </c>
      <c r="H26" s="22">
        <v>20</v>
      </c>
      <c r="J26" t="str">
        <f t="shared" si="2"/>
        <v>replace incl_ticker=20 if ticker=="MAGN"</v>
      </c>
    </row>
    <row r="29" spans="3:8" ht="12">
      <c r="C29" t="s">
        <v>1154</v>
      </c>
      <c r="D29" t="s">
        <v>1155</v>
      </c>
      <c r="E29" t="s">
        <v>1156</v>
      </c>
      <c r="F29" t="s">
        <v>1157</v>
      </c>
      <c r="G29" t="s">
        <v>1377</v>
      </c>
      <c r="H29" t="s">
        <v>1378</v>
      </c>
    </row>
    <row r="30" spans="2:8" ht="12">
      <c r="B30" t="s">
        <v>1158</v>
      </c>
      <c r="C30" s="11">
        <v>17190000000</v>
      </c>
      <c r="D30" s="11">
        <v>24150000000</v>
      </c>
      <c r="E30">
        <v>0</v>
      </c>
      <c r="F30">
        <v>0</v>
      </c>
      <c r="G30">
        <v>0</v>
      </c>
      <c r="H30">
        <v>0</v>
      </c>
    </row>
    <row r="31" spans="2:8" ht="12">
      <c r="B31" t="s">
        <v>1159</v>
      </c>
      <c r="C31" s="11">
        <v>9554000000</v>
      </c>
      <c r="D31" s="11">
        <v>2931000000</v>
      </c>
      <c r="E31">
        <v>0</v>
      </c>
      <c r="F31">
        <v>0</v>
      </c>
      <c r="G31">
        <v>0</v>
      </c>
      <c r="H31">
        <v>0</v>
      </c>
    </row>
    <row r="32" spans="2:8" ht="12">
      <c r="B32" t="s">
        <v>1160</v>
      </c>
      <c r="C32" s="11">
        <v>6369000000</v>
      </c>
      <c r="D32" s="11">
        <v>5053000000</v>
      </c>
      <c r="E32">
        <v>0</v>
      </c>
      <c r="F32">
        <v>0</v>
      </c>
      <c r="G32">
        <v>0</v>
      </c>
      <c r="H32">
        <v>0</v>
      </c>
    </row>
    <row r="33" spans="2:8" ht="12">
      <c r="B33" t="s">
        <v>1161</v>
      </c>
      <c r="C33" s="11">
        <v>6797000000</v>
      </c>
      <c r="D33" s="11">
        <v>1951000000</v>
      </c>
      <c r="E33">
        <v>0</v>
      </c>
      <c r="F33">
        <v>0</v>
      </c>
      <c r="G33">
        <v>0</v>
      </c>
      <c r="H33">
        <v>0</v>
      </c>
    </row>
    <row r="34" spans="2:8" ht="12">
      <c r="B34" t="s">
        <v>1162</v>
      </c>
      <c r="C34" s="11">
        <v>5768000000</v>
      </c>
      <c r="D34" s="11">
        <v>579800000</v>
      </c>
      <c r="E34">
        <v>0</v>
      </c>
      <c r="F34">
        <v>0</v>
      </c>
      <c r="G34">
        <v>0</v>
      </c>
      <c r="H34">
        <v>0</v>
      </c>
    </row>
    <row r="35" spans="2:8" ht="12">
      <c r="B35" t="s">
        <v>1163</v>
      </c>
      <c r="C35" s="11">
        <v>2891000000</v>
      </c>
      <c r="D35" s="11">
        <v>2928000000</v>
      </c>
      <c r="E35">
        <v>0</v>
      </c>
      <c r="F35">
        <v>0</v>
      </c>
      <c r="G35">
        <v>0</v>
      </c>
      <c r="H35">
        <v>0</v>
      </c>
    </row>
    <row r="36" spans="2:8" ht="12">
      <c r="B36" t="s">
        <v>1164</v>
      </c>
      <c r="C36" s="11">
        <v>1685000000</v>
      </c>
      <c r="D36" s="11">
        <v>4086000000</v>
      </c>
      <c r="E36">
        <v>0</v>
      </c>
      <c r="F36">
        <v>0</v>
      </c>
      <c r="G36">
        <v>0</v>
      </c>
      <c r="H36">
        <v>0</v>
      </c>
    </row>
    <row r="37" spans="2:8" ht="12">
      <c r="B37" t="s">
        <v>1165</v>
      </c>
      <c r="C37" s="11">
        <v>3978000000</v>
      </c>
      <c r="D37" s="11">
        <v>730900000</v>
      </c>
      <c r="E37">
        <v>0</v>
      </c>
      <c r="F37">
        <v>0</v>
      </c>
      <c r="G37">
        <v>0</v>
      </c>
      <c r="H37">
        <v>0</v>
      </c>
    </row>
    <row r="38" spans="2:8" ht="12">
      <c r="B38" t="s">
        <v>1166</v>
      </c>
      <c r="C38" s="11">
        <v>1021000000</v>
      </c>
      <c r="D38" s="11">
        <v>3428000000</v>
      </c>
      <c r="E38">
        <v>0</v>
      </c>
      <c r="F38">
        <v>0</v>
      </c>
      <c r="G38">
        <v>0</v>
      </c>
      <c r="H38">
        <v>0</v>
      </c>
    </row>
    <row r="39" spans="2:8" ht="12">
      <c r="B39" t="s">
        <v>1167</v>
      </c>
      <c r="C39" s="11">
        <v>784300000</v>
      </c>
      <c r="D39" s="11">
        <v>3510000000</v>
      </c>
      <c r="E39">
        <v>0</v>
      </c>
      <c r="F39">
        <v>0</v>
      </c>
      <c r="G39">
        <v>0</v>
      </c>
      <c r="H39">
        <v>0</v>
      </c>
    </row>
    <row r="40" spans="2:8" ht="12">
      <c r="B40" t="s">
        <v>1168</v>
      </c>
      <c r="C40" s="11">
        <v>1989000000</v>
      </c>
      <c r="D40" s="11">
        <v>1798000000</v>
      </c>
      <c r="E40">
        <v>0</v>
      </c>
      <c r="F40">
        <v>0</v>
      </c>
      <c r="G40">
        <v>0</v>
      </c>
      <c r="H40">
        <v>0</v>
      </c>
    </row>
    <row r="41" spans="2:8" ht="12">
      <c r="B41" t="s">
        <v>1169</v>
      </c>
      <c r="C41" s="11">
        <v>2947000000</v>
      </c>
      <c r="D41" s="11">
        <v>634100000</v>
      </c>
      <c r="E41">
        <v>0</v>
      </c>
      <c r="F41">
        <v>0</v>
      </c>
      <c r="G41">
        <v>0</v>
      </c>
      <c r="H41">
        <v>0</v>
      </c>
    </row>
    <row r="42" spans="2:8" ht="12">
      <c r="B42" t="s">
        <v>1170</v>
      </c>
      <c r="C42" s="11">
        <v>1169000000</v>
      </c>
      <c r="D42" s="11">
        <v>2365000000</v>
      </c>
      <c r="E42">
        <v>0</v>
      </c>
      <c r="F42">
        <v>0</v>
      </c>
      <c r="G42">
        <v>0</v>
      </c>
      <c r="H42">
        <v>0</v>
      </c>
    </row>
    <row r="43" spans="2:8" ht="12">
      <c r="B43" t="s">
        <v>1171</v>
      </c>
      <c r="C43" s="11">
        <v>957600000</v>
      </c>
      <c r="D43" s="11">
        <v>1936000000</v>
      </c>
      <c r="E43">
        <v>0</v>
      </c>
      <c r="F43">
        <v>0</v>
      </c>
      <c r="G43">
        <v>0</v>
      </c>
      <c r="H43">
        <v>0</v>
      </c>
    </row>
    <row r="44" spans="2:8" ht="12">
      <c r="B44" t="s">
        <v>1172</v>
      </c>
      <c r="C44" s="11">
        <v>761900000</v>
      </c>
      <c r="D44" s="11">
        <v>1113000000</v>
      </c>
      <c r="E44">
        <v>0</v>
      </c>
      <c r="F44">
        <v>0</v>
      </c>
      <c r="G44">
        <v>0</v>
      </c>
      <c r="H44">
        <v>0</v>
      </c>
    </row>
    <row r="45" spans="2:8" ht="12">
      <c r="B45" t="s">
        <v>1173</v>
      </c>
      <c r="C45" s="11">
        <v>334900000</v>
      </c>
      <c r="D45" s="11">
        <v>947400000</v>
      </c>
      <c r="E45">
        <v>0</v>
      </c>
      <c r="F45">
        <v>0</v>
      </c>
      <c r="G45">
        <v>0</v>
      </c>
      <c r="H45">
        <v>0</v>
      </c>
    </row>
    <row r="46" spans="2:8" ht="12">
      <c r="B46" t="s">
        <v>1174</v>
      </c>
      <c r="C46" s="11">
        <v>754900000</v>
      </c>
      <c r="D46" s="11">
        <v>404300000</v>
      </c>
      <c r="E46">
        <v>0</v>
      </c>
      <c r="F46">
        <v>0</v>
      </c>
      <c r="G46">
        <v>0</v>
      </c>
      <c r="H46">
        <v>0</v>
      </c>
    </row>
    <row r="47" spans="2:8" ht="12">
      <c r="B47" t="s">
        <v>1175</v>
      </c>
      <c r="C47" s="11">
        <v>360100000</v>
      </c>
      <c r="D47" s="11">
        <v>623400000</v>
      </c>
      <c r="E47">
        <v>0</v>
      </c>
      <c r="F47">
        <v>0</v>
      </c>
      <c r="G47">
        <v>0</v>
      </c>
      <c r="H47">
        <v>0</v>
      </c>
    </row>
    <row r="48" spans="2:8" ht="12">
      <c r="B48" t="s">
        <v>1254</v>
      </c>
      <c r="C48" s="11">
        <v>478500000</v>
      </c>
      <c r="D48" s="11">
        <v>374700000</v>
      </c>
      <c r="E48">
        <v>0</v>
      </c>
      <c r="F48">
        <v>0</v>
      </c>
      <c r="G48">
        <v>0</v>
      </c>
      <c r="H48">
        <v>0</v>
      </c>
    </row>
    <row r="49" spans="2:8" ht="12">
      <c r="B49" t="s">
        <v>1582</v>
      </c>
      <c r="C49" s="11">
        <v>132600000</v>
      </c>
      <c r="D49" s="11">
        <v>621900000</v>
      </c>
      <c r="E49">
        <v>0</v>
      </c>
      <c r="F49">
        <v>0</v>
      </c>
      <c r="G49">
        <v>0</v>
      </c>
      <c r="H49">
        <v>0</v>
      </c>
    </row>
    <row r="55" ht="12">
      <c r="A55" t="s">
        <v>90</v>
      </c>
    </row>
    <row r="56" ht="12">
      <c r="A56" t="s">
        <v>1703</v>
      </c>
    </row>
    <row r="57" ht="12">
      <c r="A57" t="s">
        <v>1464</v>
      </c>
    </row>
    <row r="58" ht="12">
      <c r="A58" t="s">
        <v>1706</v>
      </c>
    </row>
    <row r="59" ht="12">
      <c r="A59" t="s">
        <v>1465</v>
      </c>
    </row>
    <row r="60" ht="12">
      <c r="A60" t="s">
        <v>1466</v>
      </c>
    </row>
    <row r="61" ht="12">
      <c r="A61" t="s">
        <v>1467</v>
      </c>
    </row>
    <row r="62" ht="12">
      <c r="A62" t="s">
        <v>1468</v>
      </c>
    </row>
    <row r="63" ht="12">
      <c r="A63" t="s">
        <v>1469</v>
      </c>
    </row>
    <row r="64" ht="12">
      <c r="A64" t="s">
        <v>1470</v>
      </c>
    </row>
    <row r="65" ht="12">
      <c r="A65" t="s">
        <v>1471</v>
      </c>
    </row>
    <row r="66" ht="12">
      <c r="A66" t="s">
        <v>1472</v>
      </c>
    </row>
    <row r="67" ht="12">
      <c r="A67" t="s">
        <v>1473</v>
      </c>
    </row>
    <row r="68" ht="12">
      <c r="A68" t="s">
        <v>1474</v>
      </c>
    </row>
    <row r="69" ht="12">
      <c r="A69" t="s">
        <v>1475</v>
      </c>
    </row>
    <row r="70" ht="12">
      <c r="A70" t="s">
        <v>1476</v>
      </c>
    </row>
    <row r="71" ht="12">
      <c r="A71" t="s">
        <v>1477</v>
      </c>
    </row>
    <row r="72" ht="12">
      <c r="A72" t="s">
        <v>1478</v>
      </c>
    </row>
    <row r="73" ht="12">
      <c r="A73" t="s">
        <v>1479</v>
      </c>
    </row>
    <row r="74" ht="12">
      <c r="A74" t="s">
        <v>1480</v>
      </c>
    </row>
    <row r="75" ht="12">
      <c r="A75" t="s">
        <v>1481</v>
      </c>
    </row>
    <row r="76" ht="12">
      <c r="A76" t="s">
        <v>1482</v>
      </c>
    </row>
    <row r="77" ht="12">
      <c r="A77" t="s">
        <v>1483</v>
      </c>
    </row>
    <row r="78" ht="12">
      <c r="A78" t="s">
        <v>1484</v>
      </c>
    </row>
    <row r="79" ht="12">
      <c r="A79" t="s">
        <v>1706</v>
      </c>
    </row>
    <row r="80" ht="12">
      <c r="A80" t="s">
        <v>66</v>
      </c>
    </row>
    <row r="81" ht="12">
      <c r="A81" t="s">
        <v>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5"/>
  <dimension ref="A1:I82"/>
  <sheetViews>
    <sheetView workbookViewId="0" topLeftCell="A1">
      <selection activeCell="C15" sqref="C15"/>
    </sheetView>
  </sheetViews>
  <sheetFormatPr defaultColWidth="9.00390625" defaultRowHeight="12.75"/>
  <cols>
    <col min="1" max="1" width="14.50390625" style="0" customWidth="1"/>
    <col min="2" max="2" width="7.00390625" style="0" customWidth="1"/>
    <col min="3" max="3" width="11.00390625" style="0" customWidth="1"/>
    <col min="4" max="4" width="10.125" style="0" customWidth="1"/>
    <col min="5" max="5" width="9.50390625" style="0" customWidth="1"/>
  </cols>
  <sheetData>
    <row r="1" spans="1:4" ht="12">
      <c r="A1" t="s">
        <v>1698</v>
      </c>
      <c r="B1">
        <v>2</v>
      </c>
      <c r="C1" t="s">
        <v>1699</v>
      </c>
      <c r="D1">
        <v>7</v>
      </c>
    </row>
    <row r="2" spans="1:2" ht="12">
      <c r="A2" t="s">
        <v>1700</v>
      </c>
      <c r="B2">
        <v>20</v>
      </c>
    </row>
    <row r="3" spans="1:2" ht="12">
      <c r="A3" t="s">
        <v>1701</v>
      </c>
      <c r="B3">
        <v>0</v>
      </c>
    </row>
    <row r="5" ht="15.75" customHeight="1">
      <c r="A5" t="s">
        <v>307</v>
      </c>
    </row>
    <row r="6" spans="3:8" ht="15.75" customHeight="1">
      <c r="C6" s="61" t="s">
        <v>323</v>
      </c>
      <c r="D6" s="61"/>
      <c r="E6" s="61" t="s">
        <v>324</v>
      </c>
      <c r="F6" s="61"/>
      <c r="G6" s="61" t="s">
        <v>325</v>
      </c>
      <c r="H6" s="61"/>
    </row>
    <row r="7" spans="1:8" ht="12">
      <c r="A7" t="s">
        <v>656</v>
      </c>
      <c r="B7" t="s">
        <v>1537</v>
      </c>
      <c r="C7">
        <v>2003</v>
      </c>
      <c r="D7">
        <v>2004</v>
      </c>
      <c r="E7">
        <v>2003</v>
      </c>
      <c r="F7">
        <v>2004</v>
      </c>
      <c r="G7">
        <v>2003</v>
      </c>
      <c r="H7">
        <v>2004</v>
      </c>
    </row>
    <row r="8" spans="1:9" ht="12">
      <c r="A8" t="s">
        <v>1557</v>
      </c>
      <c r="B8" t="s">
        <v>1538</v>
      </c>
      <c r="C8" s="56">
        <f aca="true" t="shared" si="0" ref="C8:H13">B30*100</f>
        <v>7.931609000000001</v>
      </c>
      <c r="D8" s="56">
        <f t="shared" si="0"/>
        <v>10.256723</v>
      </c>
      <c r="E8" s="56">
        <f t="shared" si="0"/>
        <v>0.744147</v>
      </c>
      <c r="F8" s="56">
        <f t="shared" si="0"/>
        <v>0.9587709999999999</v>
      </c>
      <c r="G8" s="56">
        <f t="shared" si="0"/>
        <v>2.188323</v>
      </c>
      <c r="H8" s="56">
        <f t="shared" si="0"/>
        <v>2.7143859999999997</v>
      </c>
      <c r="I8">
        <v>1</v>
      </c>
    </row>
    <row r="9" spans="1:9" ht="12">
      <c r="A9" t="s">
        <v>1558</v>
      </c>
      <c r="B9" t="s">
        <v>1539</v>
      </c>
      <c r="C9" s="56">
        <f t="shared" si="0"/>
        <v>13.46851</v>
      </c>
      <c r="D9" s="56">
        <f t="shared" si="0"/>
        <v>2.749955</v>
      </c>
      <c r="E9" s="56">
        <f t="shared" si="0"/>
        <v>4.207318</v>
      </c>
      <c r="F9" s="56">
        <f t="shared" si="0"/>
        <v>1.020132</v>
      </c>
      <c r="G9" s="56">
        <f t="shared" si="0"/>
        <v>3.64787</v>
      </c>
      <c r="H9" s="56">
        <f t="shared" si="0"/>
        <v>0.80346</v>
      </c>
      <c r="I9">
        <v>1</v>
      </c>
    </row>
    <row r="10" spans="1:9" ht="12">
      <c r="A10" t="s">
        <v>1559</v>
      </c>
      <c r="B10" t="s">
        <v>1540</v>
      </c>
      <c r="C10" s="56">
        <f t="shared" si="0"/>
        <v>16.235495</v>
      </c>
      <c r="D10" s="56">
        <f t="shared" si="0"/>
        <v>15.489431000000002</v>
      </c>
      <c r="E10" s="56">
        <f t="shared" si="0"/>
        <v>1.952618</v>
      </c>
      <c r="F10" s="56">
        <f t="shared" si="0"/>
        <v>1.484601</v>
      </c>
      <c r="G10" s="56">
        <f t="shared" si="0"/>
        <v>12.243120000000001</v>
      </c>
      <c r="H10" s="56">
        <f t="shared" si="0"/>
        <v>14.483979</v>
      </c>
      <c r="I10">
        <v>1</v>
      </c>
    </row>
    <row r="11" spans="1:9" ht="12">
      <c r="A11" t="s">
        <v>1568</v>
      </c>
      <c r="B11" t="s">
        <v>1549</v>
      </c>
      <c r="C11" s="56">
        <f t="shared" si="0"/>
        <v>76.919949</v>
      </c>
      <c r="D11" s="56">
        <f t="shared" si="0"/>
        <v>71.908164</v>
      </c>
      <c r="E11" s="56">
        <f t="shared" si="0"/>
        <v>2.443755</v>
      </c>
      <c r="F11" s="56">
        <f t="shared" si="0"/>
        <v>0.56817</v>
      </c>
      <c r="G11" s="56">
        <f t="shared" si="0"/>
        <v>4.790761000000001</v>
      </c>
      <c r="H11" s="56">
        <f t="shared" si="0"/>
        <v>1.09815</v>
      </c>
      <c r="I11">
        <v>1</v>
      </c>
    </row>
    <row r="12" spans="1:9" ht="12">
      <c r="A12" t="s">
        <v>1562</v>
      </c>
      <c r="B12" t="s">
        <v>1543</v>
      </c>
      <c r="C12" s="56">
        <f t="shared" si="0"/>
        <v>83.018571</v>
      </c>
      <c r="D12" s="56">
        <f t="shared" si="0"/>
        <v>83.018571</v>
      </c>
      <c r="E12" s="56">
        <f t="shared" si="0"/>
        <v>10.226465999999999</v>
      </c>
      <c r="F12" s="56">
        <f t="shared" si="0"/>
        <v>0.225204</v>
      </c>
      <c r="G12" s="56">
        <f t="shared" si="0"/>
        <v>19.139352000000002</v>
      </c>
      <c r="H12" s="56">
        <f t="shared" si="0"/>
        <v>0.9416300000000001</v>
      </c>
      <c r="I12">
        <v>1</v>
      </c>
    </row>
    <row r="13" spans="1:9" ht="12">
      <c r="A13" t="s">
        <v>1561</v>
      </c>
      <c r="B13" t="s">
        <v>1542</v>
      </c>
      <c r="C13" s="56">
        <f aca="true" t="shared" si="1" ref="C13:F25">B35*100</f>
        <v>10.783292</v>
      </c>
      <c r="D13" s="56">
        <f t="shared" si="1"/>
        <v>11.076318</v>
      </c>
      <c r="E13" s="56">
        <f t="shared" si="1"/>
        <v>2.146472</v>
      </c>
      <c r="F13" s="56">
        <f t="shared" si="1"/>
        <v>0.619615</v>
      </c>
      <c r="G13" s="56">
        <f t="shared" si="0"/>
        <v>3.787261</v>
      </c>
      <c r="H13" s="56">
        <f aca="true" t="shared" si="2" ref="H13:H25">G35*100</f>
        <v>2.74301</v>
      </c>
      <c r="I13">
        <v>1</v>
      </c>
    </row>
    <row r="14" spans="1:9" ht="12">
      <c r="A14" t="s">
        <v>1560</v>
      </c>
      <c r="B14" t="s">
        <v>1541</v>
      </c>
      <c r="C14" s="56">
        <f t="shared" si="1"/>
        <v>14.466657999999999</v>
      </c>
      <c r="D14" s="56">
        <f t="shared" si="1"/>
        <v>21.150947000000002</v>
      </c>
      <c r="E14" s="56">
        <f t="shared" si="1"/>
        <v>4.136274</v>
      </c>
      <c r="F14" s="56">
        <f t="shared" si="1"/>
        <v>9.171158</v>
      </c>
      <c r="G14" s="56">
        <f aca="true" t="shared" si="3" ref="G14:G25">F36*100</f>
        <v>4.408132</v>
      </c>
      <c r="H14" s="56">
        <f t="shared" si="2"/>
        <v>8.430768</v>
      </c>
      <c r="I14">
        <v>1</v>
      </c>
    </row>
    <row r="15" spans="1:9" ht="12">
      <c r="A15" t="s">
        <v>1569</v>
      </c>
      <c r="B15" t="s">
        <v>1550</v>
      </c>
      <c r="C15" s="56">
        <f t="shared" si="1"/>
        <v>55.435079</v>
      </c>
      <c r="D15" s="56">
        <f t="shared" si="1"/>
        <v>12.724324000000001</v>
      </c>
      <c r="E15" s="56">
        <f t="shared" si="1"/>
        <v>3.139962</v>
      </c>
      <c r="F15" s="56">
        <f t="shared" si="1"/>
        <v>0.553499</v>
      </c>
      <c r="G15" s="56">
        <f t="shared" si="3"/>
        <v>5.714453</v>
      </c>
      <c r="H15" s="56">
        <f t="shared" si="2"/>
        <v>0.8180780000000001</v>
      </c>
      <c r="I15">
        <v>1</v>
      </c>
    </row>
    <row r="16" spans="1:9" ht="12">
      <c r="A16" t="s">
        <v>1564</v>
      </c>
      <c r="B16" t="s">
        <v>1545</v>
      </c>
      <c r="C16" s="56">
        <f t="shared" si="1"/>
        <v>8.90592</v>
      </c>
      <c r="D16" s="56">
        <f t="shared" si="1"/>
        <v>11.445355</v>
      </c>
      <c r="E16" s="56">
        <f t="shared" si="1"/>
        <v>0.055944</v>
      </c>
      <c r="F16" s="56">
        <f t="shared" si="1"/>
        <v>0.18751</v>
      </c>
      <c r="G16" s="56">
        <f t="shared" si="3"/>
        <v>0.670675</v>
      </c>
      <c r="H16" s="56">
        <f t="shared" si="2"/>
        <v>0.51978</v>
      </c>
      <c r="I16">
        <v>1</v>
      </c>
    </row>
    <row r="17" spans="1:9" ht="12">
      <c r="A17" t="s">
        <v>1563</v>
      </c>
      <c r="B17" t="s">
        <v>1544</v>
      </c>
      <c r="C17" s="56">
        <f t="shared" si="1"/>
        <v>3.095167</v>
      </c>
      <c r="D17" s="56">
        <f t="shared" si="1"/>
        <v>6.248123</v>
      </c>
      <c r="E17" s="56">
        <f t="shared" si="1"/>
        <v>1.0568650000000002</v>
      </c>
      <c r="F17" s="56">
        <f t="shared" si="1"/>
        <v>2.6638200000000003</v>
      </c>
      <c r="G17" s="56">
        <f t="shared" si="3"/>
        <v>0.9595859999999999</v>
      </c>
      <c r="H17" s="56">
        <f t="shared" si="2"/>
        <v>2.692363</v>
      </c>
      <c r="I17">
        <v>1</v>
      </c>
    </row>
    <row r="18" spans="1:9" ht="12">
      <c r="A18" t="s">
        <v>1566</v>
      </c>
      <c r="B18" t="s">
        <v>1547</v>
      </c>
      <c r="C18" s="56">
        <f t="shared" si="1"/>
        <v>6.236376</v>
      </c>
      <c r="D18" s="56">
        <f t="shared" si="1"/>
        <v>2.668141</v>
      </c>
      <c r="E18" s="56">
        <f t="shared" si="1"/>
        <v>2.780092</v>
      </c>
      <c r="F18" s="56">
        <f t="shared" si="1"/>
        <v>1.5756869999999998</v>
      </c>
      <c r="G18" s="56">
        <f t="shared" si="3"/>
        <v>2.6504309999999998</v>
      </c>
      <c r="H18" s="56">
        <f t="shared" si="2"/>
        <v>1.4251369999999999</v>
      </c>
      <c r="I18">
        <v>1</v>
      </c>
    </row>
    <row r="19" spans="1:9" ht="12">
      <c r="A19" t="s">
        <v>1565</v>
      </c>
      <c r="B19" t="s">
        <v>1546</v>
      </c>
      <c r="C19" s="56">
        <f t="shared" si="1"/>
        <v>15.15957</v>
      </c>
      <c r="D19" s="56">
        <f t="shared" si="1"/>
        <v>1.642605</v>
      </c>
      <c r="E19" s="56">
        <f t="shared" si="1"/>
        <v>2.537189</v>
      </c>
      <c r="F19" s="56">
        <f t="shared" si="1"/>
        <v>0.447844</v>
      </c>
      <c r="G19" s="56">
        <f t="shared" si="3"/>
        <v>2.5270520000000003</v>
      </c>
      <c r="H19" s="56">
        <f t="shared" si="2"/>
        <v>0.42048199999999997</v>
      </c>
      <c r="I19">
        <v>1</v>
      </c>
    </row>
    <row r="20" spans="1:9" ht="12">
      <c r="A20" t="s">
        <v>1571</v>
      </c>
      <c r="B20" t="s">
        <v>1553</v>
      </c>
      <c r="C20" s="56">
        <f t="shared" si="1"/>
        <v>34.83617</v>
      </c>
      <c r="D20" s="56">
        <f t="shared" si="1"/>
        <v>58.400828000000004</v>
      </c>
      <c r="E20" s="56">
        <f t="shared" si="1"/>
        <v>6.552484</v>
      </c>
      <c r="F20" s="56">
        <f t="shared" si="1"/>
        <v>8.503299</v>
      </c>
      <c r="G20" s="56">
        <f t="shared" si="3"/>
        <v>6.303828</v>
      </c>
      <c r="H20" s="56">
        <f t="shared" si="2"/>
        <v>7.0199739999999995</v>
      </c>
      <c r="I20">
        <v>1</v>
      </c>
    </row>
    <row r="21" spans="1:9" ht="12">
      <c r="A21" t="s">
        <v>1573</v>
      </c>
      <c r="B21" t="s">
        <v>1555</v>
      </c>
      <c r="C21" s="56">
        <f t="shared" si="1"/>
        <v>6.4930710000000005</v>
      </c>
      <c r="D21" s="56">
        <f t="shared" si="1"/>
        <v>14.521878999999998</v>
      </c>
      <c r="E21" s="56">
        <f t="shared" si="1"/>
        <v>1.69068</v>
      </c>
      <c r="F21" s="56">
        <f t="shared" si="1"/>
        <v>3.726072</v>
      </c>
      <c r="G21" s="56">
        <f t="shared" si="3"/>
        <v>2.481051</v>
      </c>
      <c r="H21" s="56">
        <f t="shared" si="2"/>
        <v>4.434646</v>
      </c>
      <c r="I21">
        <v>1</v>
      </c>
    </row>
    <row r="22" spans="1:9" ht="12">
      <c r="A22" t="s">
        <v>1567</v>
      </c>
      <c r="B22" t="s">
        <v>1548</v>
      </c>
      <c r="C22" s="56">
        <f t="shared" si="1"/>
        <v>1.397502</v>
      </c>
      <c r="D22" s="56">
        <f t="shared" si="1"/>
        <v>1.5522559999999999</v>
      </c>
      <c r="E22" s="56">
        <f t="shared" si="1"/>
        <v>0.29625799999999997</v>
      </c>
      <c r="F22" s="56">
        <f t="shared" si="1"/>
        <v>0.350472</v>
      </c>
      <c r="G22" s="56">
        <f t="shared" si="3"/>
        <v>0.563</v>
      </c>
      <c r="H22" s="56">
        <f t="shared" si="2"/>
        <v>0.680957</v>
      </c>
      <c r="I22">
        <v>1</v>
      </c>
    </row>
    <row r="23" spans="1:9" ht="12">
      <c r="A23" t="s">
        <v>1570</v>
      </c>
      <c r="B23" t="s">
        <v>1552</v>
      </c>
      <c r="C23" s="56">
        <f t="shared" si="1"/>
        <v>23.327202</v>
      </c>
      <c r="D23" s="56">
        <f t="shared" si="1"/>
        <v>13.834134</v>
      </c>
      <c r="E23" s="56">
        <f t="shared" si="1"/>
        <v>2.8290889999999997</v>
      </c>
      <c r="F23" s="56">
        <f t="shared" si="1"/>
        <v>0.6667120000000001</v>
      </c>
      <c r="G23" s="56">
        <f t="shared" si="3"/>
        <v>1.702549</v>
      </c>
      <c r="H23" s="56">
        <f t="shared" si="2"/>
        <v>3.2670860000000004</v>
      </c>
      <c r="I23">
        <v>1</v>
      </c>
    </row>
    <row r="24" spans="1:9" ht="12">
      <c r="A24" t="s">
        <v>1572</v>
      </c>
      <c r="B24" t="s">
        <v>1554</v>
      </c>
      <c r="C24" s="56">
        <f t="shared" si="1"/>
        <v>1.9543760000000001</v>
      </c>
      <c r="D24" s="56">
        <f t="shared" si="1"/>
        <v>0.49754100000000007</v>
      </c>
      <c r="E24" s="56">
        <f t="shared" si="1"/>
        <v>0.13722800000000002</v>
      </c>
      <c r="F24" s="56">
        <f t="shared" si="1"/>
        <v>0.12378999999999998</v>
      </c>
      <c r="G24" s="56">
        <f t="shared" si="3"/>
        <v>10.374764</v>
      </c>
      <c r="H24" s="56">
        <f t="shared" si="2"/>
        <v>6.333745</v>
      </c>
      <c r="I24">
        <v>1</v>
      </c>
    </row>
    <row r="25" spans="1:9" ht="12">
      <c r="A25" t="s">
        <v>1688</v>
      </c>
      <c r="B25" t="s">
        <v>1687</v>
      </c>
      <c r="C25" s="56">
        <f t="shared" si="1"/>
        <v>79.752719</v>
      </c>
      <c r="D25" s="56">
        <f t="shared" si="1"/>
        <v>40.231860000000005</v>
      </c>
      <c r="E25" s="56">
        <f t="shared" si="1"/>
        <v>3.4169579999999997</v>
      </c>
      <c r="F25" s="56">
        <f t="shared" si="1"/>
        <v>5.826163</v>
      </c>
      <c r="G25" s="56">
        <f t="shared" si="3"/>
        <v>4.05018</v>
      </c>
      <c r="H25" s="56">
        <f t="shared" si="2"/>
        <v>6.5250840000000006</v>
      </c>
      <c r="I25">
        <v>1</v>
      </c>
    </row>
    <row r="26" spans="1:9" ht="12">
      <c r="A26" t="s">
        <v>144</v>
      </c>
      <c r="B26" t="s">
        <v>1551</v>
      </c>
      <c r="C26" s="56">
        <f aca="true" t="shared" si="4" ref="C26:H26">B48*100</f>
        <v>10.279223</v>
      </c>
      <c r="D26" s="56">
        <f t="shared" si="4"/>
        <v>0.592564</v>
      </c>
      <c r="E26" s="56">
        <f t="shared" si="4"/>
        <v>0.333858</v>
      </c>
      <c r="F26" s="56">
        <f t="shared" si="4"/>
        <v>0.21728099999999997</v>
      </c>
      <c r="G26" s="56">
        <f t="shared" si="4"/>
        <v>0.424106</v>
      </c>
      <c r="H26" s="56">
        <f t="shared" si="4"/>
        <v>0.204024</v>
      </c>
      <c r="I26">
        <v>1</v>
      </c>
    </row>
    <row r="27" spans="1:9" ht="12">
      <c r="A27" t="s">
        <v>1574</v>
      </c>
      <c r="B27" t="s">
        <v>1556</v>
      </c>
      <c r="C27" s="56">
        <f aca="true" t="shared" si="5" ref="C27:H27">B49*100</f>
        <v>0.482673</v>
      </c>
      <c r="D27" s="56">
        <f t="shared" si="5"/>
        <v>1.389545</v>
      </c>
      <c r="E27" s="56">
        <f t="shared" si="5"/>
        <v>0.17716400000000002</v>
      </c>
      <c r="F27" s="56">
        <f t="shared" si="5"/>
        <v>0.48475599999999996</v>
      </c>
      <c r="G27" s="56">
        <f t="shared" si="5"/>
        <v>0.149644</v>
      </c>
      <c r="H27" s="56">
        <f t="shared" si="5"/>
        <v>0.46569499999999997</v>
      </c>
      <c r="I27">
        <v>1</v>
      </c>
    </row>
    <row r="29" spans="2:7" ht="12">
      <c r="B29" t="s">
        <v>1154</v>
      </c>
      <c r="C29" t="s">
        <v>1155</v>
      </c>
      <c r="D29" t="s">
        <v>1156</v>
      </c>
      <c r="E29" t="s">
        <v>1157</v>
      </c>
      <c r="F29" t="s">
        <v>1377</v>
      </c>
      <c r="G29" t="s">
        <v>1378</v>
      </c>
    </row>
    <row r="30" spans="1:7" ht="12">
      <c r="A30" t="s">
        <v>1158</v>
      </c>
      <c r="B30">
        <v>0.07931609</v>
      </c>
      <c r="C30">
        <v>0.10256723</v>
      </c>
      <c r="D30">
        <v>0.00744147</v>
      </c>
      <c r="E30">
        <v>0.00958771</v>
      </c>
      <c r="F30">
        <v>0.02188323</v>
      </c>
      <c r="G30">
        <v>0.02714386</v>
      </c>
    </row>
    <row r="31" spans="1:7" ht="12">
      <c r="A31" t="s">
        <v>1159</v>
      </c>
      <c r="B31">
        <v>0.1346851</v>
      </c>
      <c r="C31">
        <v>0.02749955</v>
      </c>
      <c r="D31">
        <v>0.04207318</v>
      </c>
      <c r="E31">
        <v>0.01020132</v>
      </c>
      <c r="F31">
        <v>0.0364787</v>
      </c>
      <c r="G31">
        <v>0.0080346</v>
      </c>
    </row>
    <row r="32" spans="1:7" ht="12">
      <c r="A32" t="s">
        <v>1160</v>
      </c>
      <c r="B32">
        <v>0.16235495</v>
      </c>
      <c r="C32">
        <v>0.15489431</v>
      </c>
      <c r="D32">
        <v>0.01952618</v>
      </c>
      <c r="E32">
        <v>0.01484601</v>
      </c>
      <c r="F32">
        <v>0.1224312</v>
      </c>
      <c r="G32">
        <v>0.14483979</v>
      </c>
    </row>
    <row r="33" spans="1:7" ht="12">
      <c r="A33" t="s">
        <v>1161</v>
      </c>
      <c r="B33">
        <v>0.76919949</v>
      </c>
      <c r="C33">
        <v>0.71908164</v>
      </c>
      <c r="D33">
        <v>0.02443755</v>
      </c>
      <c r="E33">
        <v>0.0056817</v>
      </c>
      <c r="F33">
        <v>0.04790761</v>
      </c>
      <c r="G33">
        <v>0.0109815</v>
      </c>
    </row>
    <row r="34" spans="1:7" ht="12">
      <c r="A34" t="s">
        <v>1162</v>
      </c>
      <c r="B34">
        <v>0.83018571</v>
      </c>
      <c r="C34">
        <v>0.83018571</v>
      </c>
      <c r="D34">
        <v>0.10226466</v>
      </c>
      <c r="E34">
        <v>0.00225204</v>
      </c>
      <c r="F34">
        <v>0.19139352</v>
      </c>
      <c r="G34">
        <v>0.0094163</v>
      </c>
    </row>
    <row r="35" spans="1:7" ht="12">
      <c r="A35" t="s">
        <v>1163</v>
      </c>
      <c r="B35">
        <v>0.10783292</v>
      </c>
      <c r="C35">
        <v>0.11076318</v>
      </c>
      <c r="D35">
        <v>0.02146472</v>
      </c>
      <c r="E35">
        <v>0.00619615</v>
      </c>
      <c r="F35">
        <v>0.03787261</v>
      </c>
      <c r="G35">
        <v>0.0274301</v>
      </c>
    </row>
    <row r="36" spans="1:7" ht="12">
      <c r="A36" t="s">
        <v>1164</v>
      </c>
      <c r="B36">
        <v>0.14466658</v>
      </c>
      <c r="C36">
        <v>0.21150947</v>
      </c>
      <c r="D36">
        <v>0.04136274</v>
      </c>
      <c r="E36">
        <v>0.09171158</v>
      </c>
      <c r="F36">
        <v>0.04408132</v>
      </c>
      <c r="G36">
        <v>0.08430768</v>
      </c>
    </row>
    <row r="37" spans="1:7" ht="12">
      <c r="A37" t="s">
        <v>1165</v>
      </c>
      <c r="B37">
        <v>0.55435079</v>
      </c>
      <c r="C37">
        <v>0.12724324</v>
      </c>
      <c r="D37">
        <v>0.03139962</v>
      </c>
      <c r="E37">
        <v>0.00553499</v>
      </c>
      <c r="F37">
        <v>0.05714453</v>
      </c>
      <c r="G37">
        <v>0.00818078</v>
      </c>
    </row>
    <row r="38" spans="1:7" ht="12">
      <c r="A38" t="s">
        <v>1166</v>
      </c>
      <c r="B38">
        <v>0.0890592</v>
      </c>
      <c r="C38">
        <v>0.11445355</v>
      </c>
      <c r="D38">
        <v>0.00055944</v>
      </c>
      <c r="E38">
        <v>0.0018751</v>
      </c>
      <c r="F38">
        <v>0.00670675</v>
      </c>
      <c r="G38">
        <v>0.0051978</v>
      </c>
    </row>
    <row r="39" spans="1:7" ht="12">
      <c r="A39" t="s">
        <v>1167</v>
      </c>
      <c r="B39">
        <v>0.03095167</v>
      </c>
      <c r="C39">
        <v>0.06248123</v>
      </c>
      <c r="D39">
        <v>0.01056865</v>
      </c>
      <c r="E39">
        <v>0.0266382</v>
      </c>
      <c r="F39">
        <v>0.00959586</v>
      </c>
      <c r="G39">
        <v>0.02692363</v>
      </c>
    </row>
    <row r="40" spans="1:7" ht="12">
      <c r="A40" t="s">
        <v>1168</v>
      </c>
      <c r="B40">
        <v>0.06236376</v>
      </c>
      <c r="C40">
        <v>0.02668141</v>
      </c>
      <c r="D40">
        <v>0.02780092</v>
      </c>
      <c r="E40">
        <v>0.01575687</v>
      </c>
      <c r="F40">
        <v>0.02650431</v>
      </c>
      <c r="G40">
        <v>0.01425137</v>
      </c>
    </row>
    <row r="41" spans="1:7" ht="12">
      <c r="A41" t="s">
        <v>1169</v>
      </c>
      <c r="B41">
        <v>0.1515957</v>
      </c>
      <c r="C41">
        <v>0.01642605</v>
      </c>
      <c r="D41">
        <v>0.02537189</v>
      </c>
      <c r="E41">
        <v>0.00447844</v>
      </c>
      <c r="F41">
        <v>0.02527052</v>
      </c>
      <c r="G41">
        <v>0.00420482</v>
      </c>
    </row>
    <row r="42" spans="1:7" ht="12">
      <c r="A42" t="s">
        <v>1170</v>
      </c>
      <c r="B42">
        <v>0.3483617</v>
      </c>
      <c r="C42">
        <v>0.58400828</v>
      </c>
      <c r="D42">
        <v>0.06552484</v>
      </c>
      <c r="E42">
        <v>0.08503299</v>
      </c>
      <c r="F42">
        <v>0.06303828</v>
      </c>
      <c r="G42">
        <v>0.07019974</v>
      </c>
    </row>
    <row r="43" spans="1:7" ht="12">
      <c r="A43" t="s">
        <v>1171</v>
      </c>
      <c r="B43">
        <v>0.06493071</v>
      </c>
      <c r="C43">
        <v>0.14521879</v>
      </c>
      <c r="D43">
        <v>0.0169068</v>
      </c>
      <c r="E43">
        <v>0.03726072</v>
      </c>
      <c r="F43">
        <v>0.02481051</v>
      </c>
      <c r="G43">
        <v>0.04434646</v>
      </c>
    </row>
    <row r="44" spans="1:7" ht="12">
      <c r="A44" t="s">
        <v>1172</v>
      </c>
      <c r="B44">
        <v>0.01397502</v>
      </c>
      <c r="C44">
        <v>0.01552256</v>
      </c>
      <c r="D44">
        <v>0.00296258</v>
      </c>
      <c r="E44">
        <v>0.00350472</v>
      </c>
      <c r="F44">
        <v>0.00563</v>
      </c>
      <c r="G44">
        <v>0.00680957</v>
      </c>
    </row>
    <row r="45" spans="1:7" ht="12">
      <c r="A45" t="s">
        <v>1173</v>
      </c>
      <c r="B45">
        <v>0.23327202</v>
      </c>
      <c r="C45">
        <v>0.13834134</v>
      </c>
      <c r="D45">
        <v>0.02829089</v>
      </c>
      <c r="E45">
        <v>0.00666712</v>
      </c>
      <c r="F45">
        <v>0.01702549</v>
      </c>
      <c r="G45">
        <v>0.03267086</v>
      </c>
    </row>
    <row r="46" spans="1:7" ht="12">
      <c r="A46" t="s">
        <v>1174</v>
      </c>
      <c r="B46">
        <v>0.01954376</v>
      </c>
      <c r="C46">
        <v>0.00497541</v>
      </c>
      <c r="D46">
        <v>0.00137228</v>
      </c>
      <c r="E46">
        <v>0.0012379</v>
      </c>
      <c r="F46">
        <v>0.10374764</v>
      </c>
      <c r="G46">
        <v>0.06333745</v>
      </c>
    </row>
    <row r="47" spans="1:7" ht="12">
      <c r="A47" t="s">
        <v>1175</v>
      </c>
      <c r="B47">
        <v>0.79752719</v>
      </c>
      <c r="C47">
        <v>0.4023186</v>
      </c>
      <c r="D47">
        <v>0.03416958</v>
      </c>
      <c r="E47">
        <v>0.05826163</v>
      </c>
      <c r="F47">
        <v>0.0405018</v>
      </c>
      <c r="G47">
        <v>0.06525084</v>
      </c>
    </row>
    <row r="48" spans="1:7" ht="12">
      <c r="A48" t="s">
        <v>1254</v>
      </c>
      <c r="B48">
        <v>0.10279223</v>
      </c>
      <c r="C48">
        <v>0.00592564</v>
      </c>
      <c r="D48">
        <v>0.00333858</v>
      </c>
      <c r="E48">
        <v>0.00217281</v>
      </c>
      <c r="F48">
        <v>0.00424106</v>
      </c>
      <c r="G48">
        <v>0.00204024</v>
      </c>
    </row>
    <row r="49" spans="1:7" ht="12">
      <c r="A49" t="s">
        <v>1582</v>
      </c>
      <c r="B49">
        <v>0.00482673</v>
      </c>
      <c r="C49">
        <v>0.01389545</v>
      </c>
      <c r="D49">
        <v>0.00177164</v>
      </c>
      <c r="E49">
        <v>0.00484756</v>
      </c>
      <c r="F49">
        <v>0.00149644</v>
      </c>
      <c r="G49">
        <v>0.00465695</v>
      </c>
    </row>
    <row r="55" ht="12">
      <c r="A55" t="s">
        <v>1491</v>
      </c>
    </row>
    <row r="56" ht="12">
      <c r="A56" t="s">
        <v>1703</v>
      </c>
    </row>
    <row r="57" ht="12">
      <c r="A57" t="s">
        <v>1492</v>
      </c>
    </row>
    <row r="58" ht="12">
      <c r="A58" t="s">
        <v>1493</v>
      </c>
    </row>
    <row r="59" ht="12">
      <c r="A59" t="s">
        <v>1706</v>
      </c>
    </row>
    <row r="60" ht="12">
      <c r="A60" t="s">
        <v>1494</v>
      </c>
    </row>
    <row r="61" ht="12">
      <c r="A61" t="s">
        <v>1495</v>
      </c>
    </row>
    <row r="62" ht="12">
      <c r="A62" t="s">
        <v>1496</v>
      </c>
    </row>
    <row r="63" ht="12">
      <c r="A63" t="s">
        <v>1497</v>
      </c>
    </row>
    <row r="64" ht="12">
      <c r="A64" t="s">
        <v>1498</v>
      </c>
    </row>
    <row r="65" ht="12">
      <c r="A65" t="s">
        <v>1499</v>
      </c>
    </row>
    <row r="66" ht="12">
      <c r="A66" t="s">
        <v>1500</v>
      </c>
    </row>
    <row r="67" ht="12">
      <c r="A67" t="s">
        <v>1501</v>
      </c>
    </row>
    <row r="68" ht="12">
      <c r="A68" t="s">
        <v>1502</v>
      </c>
    </row>
    <row r="69" ht="12">
      <c r="A69" t="s">
        <v>1503</v>
      </c>
    </row>
    <row r="70" ht="12">
      <c r="A70" t="s">
        <v>1504</v>
      </c>
    </row>
    <row r="71" ht="12">
      <c r="A71" t="s">
        <v>1505</v>
      </c>
    </row>
    <row r="72" ht="12">
      <c r="A72" t="s">
        <v>1506</v>
      </c>
    </row>
    <row r="73" ht="12">
      <c r="A73" t="s">
        <v>1507</v>
      </c>
    </row>
    <row r="74" ht="12">
      <c r="A74" t="s">
        <v>1508</v>
      </c>
    </row>
    <row r="75" ht="12">
      <c r="A75" t="s">
        <v>1509</v>
      </c>
    </row>
    <row r="76" ht="12">
      <c r="A76" t="s">
        <v>1510</v>
      </c>
    </row>
    <row r="77" ht="12">
      <c r="A77" t="s">
        <v>1511</v>
      </c>
    </row>
    <row r="78" ht="12">
      <c r="A78" t="s">
        <v>1512</v>
      </c>
    </row>
    <row r="79" ht="12">
      <c r="A79" t="s">
        <v>1513</v>
      </c>
    </row>
    <row r="80" ht="12">
      <c r="A80" t="s">
        <v>1706</v>
      </c>
    </row>
    <row r="81" ht="12">
      <c r="A81" t="s">
        <v>66</v>
      </c>
    </row>
    <row r="82" ht="12">
      <c r="A82" t="s">
        <v>67</v>
      </c>
    </row>
  </sheetData>
  <mergeCells count="3">
    <mergeCell ref="C6:D6"/>
    <mergeCell ref="E6:F6"/>
    <mergeCell ref="G6:H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6"/>
  <dimension ref="A1:I63"/>
  <sheetViews>
    <sheetView workbookViewId="0" topLeftCell="A1">
      <selection activeCell="J5" sqref="J5"/>
    </sheetView>
  </sheetViews>
  <sheetFormatPr defaultColWidth="9.00390625" defaultRowHeight="12.75"/>
  <cols>
    <col min="1" max="1" width="14.50390625" style="0" customWidth="1"/>
    <col min="2" max="2" width="7.00390625" style="0" customWidth="1"/>
    <col min="3" max="3" width="11.00390625" style="0" customWidth="1"/>
    <col min="4" max="4" width="10.125" style="0" customWidth="1"/>
    <col min="5" max="5" width="9.50390625" style="0" customWidth="1"/>
  </cols>
  <sheetData>
    <row r="1" spans="1:4" ht="12">
      <c r="A1" t="s">
        <v>1698</v>
      </c>
      <c r="B1">
        <v>2</v>
      </c>
      <c r="C1" t="s">
        <v>1699</v>
      </c>
      <c r="D1">
        <v>7</v>
      </c>
    </row>
    <row r="2" spans="1:2" ht="12">
      <c r="A2" t="s">
        <v>1700</v>
      </c>
      <c r="B2">
        <v>20</v>
      </c>
    </row>
    <row r="3" spans="1:2" ht="12">
      <c r="A3" t="s">
        <v>1701</v>
      </c>
      <c r="B3">
        <v>0</v>
      </c>
    </row>
    <row r="5" ht="15.75" customHeight="1">
      <c r="A5" t="s">
        <v>308</v>
      </c>
    </row>
    <row r="6" spans="3:8" ht="15.75" customHeight="1">
      <c r="C6" s="61" t="s">
        <v>323</v>
      </c>
      <c r="D6" s="61"/>
      <c r="E6" s="61" t="s">
        <v>324</v>
      </c>
      <c r="F6" s="61"/>
      <c r="G6" s="61" t="s">
        <v>325</v>
      </c>
      <c r="H6" s="61"/>
    </row>
    <row r="7" spans="1:8" ht="12">
      <c r="A7" t="s">
        <v>656</v>
      </c>
      <c r="B7" t="s">
        <v>1537</v>
      </c>
      <c r="C7">
        <v>2003</v>
      </c>
      <c r="D7">
        <v>2004</v>
      </c>
      <c r="E7">
        <v>2003</v>
      </c>
      <c r="F7">
        <v>2004</v>
      </c>
      <c r="G7">
        <v>2003</v>
      </c>
      <c r="H7">
        <v>2004</v>
      </c>
    </row>
    <row r="8" spans="1:9" ht="12">
      <c r="A8" t="s">
        <v>1557</v>
      </c>
      <c r="B8" t="s">
        <v>1538</v>
      </c>
      <c r="C8" s="56">
        <f aca="true" t="shared" si="0" ref="C8:H8">B30*100</f>
        <v>6.762422999999999</v>
      </c>
      <c r="D8" s="56">
        <f t="shared" si="0"/>
        <v>7.740884</v>
      </c>
      <c r="E8" s="56">
        <f t="shared" si="0"/>
        <v>0.621813</v>
      </c>
      <c r="F8" s="56">
        <f t="shared" si="0"/>
        <v>0.753416</v>
      </c>
      <c r="G8" s="56">
        <f t="shared" si="0"/>
        <v>2.096665</v>
      </c>
      <c r="H8" s="56">
        <f t="shared" si="0"/>
        <v>2.472721</v>
      </c>
      <c r="I8">
        <v>1</v>
      </c>
    </row>
    <row r="9" spans="1:9" ht="12">
      <c r="A9" t="s">
        <v>1558</v>
      </c>
      <c r="B9" t="s">
        <v>1539</v>
      </c>
      <c r="C9" s="56">
        <f aca="true" t="shared" si="1" ref="C9:H22">B31*100</f>
        <v>6.371849</v>
      </c>
      <c r="D9" s="56">
        <f t="shared" si="1"/>
        <v>1.6651490000000002</v>
      </c>
      <c r="E9" s="56">
        <f t="shared" si="1"/>
        <v>1.171897</v>
      </c>
      <c r="F9" s="56">
        <f t="shared" si="1"/>
        <v>0.341843</v>
      </c>
      <c r="G9" s="56">
        <f t="shared" si="1"/>
        <v>1.396564</v>
      </c>
      <c r="H9" s="56">
        <f t="shared" si="1"/>
        <v>0.300594</v>
      </c>
      <c r="I9">
        <v>1</v>
      </c>
    </row>
    <row r="10" spans="1:9" ht="12">
      <c r="A10" t="s">
        <v>1559</v>
      </c>
      <c r="B10" t="s">
        <v>1540</v>
      </c>
      <c r="C10" s="56">
        <f t="shared" si="1"/>
        <v>11.495971</v>
      </c>
      <c r="D10" s="56">
        <f t="shared" si="1"/>
        <v>7.430238</v>
      </c>
      <c r="E10" s="56">
        <f t="shared" si="1"/>
        <v>0.585669</v>
      </c>
      <c r="F10" s="56">
        <f t="shared" si="1"/>
        <v>0.448316</v>
      </c>
      <c r="G10" s="56">
        <f t="shared" si="1"/>
        <v>1.073826</v>
      </c>
      <c r="H10" s="56">
        <f t="shared" si="1"/>
        <v>0.743394</v>
      </c>
      <c r="I10">
        <v>1</v>
      </c>
    </row>
    <row r="11" spans="1:9" ht="12">
      <c r="A11" t="s">
        <v>1568</v>
      </c>
      <c r="B11" t="s">
        <v>1549</v>
      </c>
      <c r="C11" s="56">
        <f t="shared" si="1"/>
        <v>6.841232999999999</v>
      </c>
      <c r="D11" s="56">
        <f t="shared" si="1"/>
        <v>1.270206</v>
      </c>
      <c r="E11" s="56">
        <f t="shared" si="1"/>
        <v>1.374935</v>
      </c>
      <c r="F11" s="56">
        <f t="shared" si="1"/>
        <v>0.373381</v>
      </c>
      <c r="G11" s="56">
        <f t="shared" si="1"/>
        <v>2.137345</v>
      </c>
      <c r="H11" s="56">
        <f t="shared" si="1"/>
        <v>0.477972</v>
      </c>
      <c r="I11">
        <v>1</v>
      </c>
    </row>
    <row r="12" spans="1:9" ht="12">
      <c r="A12" t="s">
        <v>1562</v>
      </c>
      <c r="B12" t="s">
        <v>1543</v>
      </c>
      <c r="C12" s="56" t="s">
        <v>1690</v>
      </c>
      <c r="D12" s="56" t="s">
        <v>1690</v>
      </c>
      <c r="E12" s="56" t="s">
        <v>1690</v>
      </c>
      <c r="F12" s="56" t="s">
        <v>1690</v>
      </c>
      <c r="G12" s="56" t="s">
        <v>1690</v>
      </c>
      <c r="H12" s="56" t="s">
        <v>1690</v>
      </c>
      <c r="I12">
        <v>1</v>
      </c>
    </row>
    <row r="13" spans="1:9" ht="12">
      <c r="A13" t="s">
        <v>1561</v>
      </c>
      <c r="B13" t="s">
        <v>1542</v>
      </c>
      <c r="C13" s="56">
        <f t="shared" si="1"/>
        <v>13.793351000000001</v>
      </c>
      <c r="D13" s="56">
        <f t="shared" si="1"/>
        <v>7.802845</v>
      </c>
      <c r="E13" s="56">
        <f t="shared" si="1"/>
        <v>1.392466</v>
      </c>
      <c r="F13" s="56">
        <f t="shared" si="1"/>
        <v>0.390755</v>
      </c>
      <c r="G13" s="56" t="s">
        <v>1690</v>
      </c>
      <c r="H13" s="56">
        <f t="shared" si="1"/>
        <v>1.9268830000000001</v>
      </c>
      <c r="I13">
        <v>1</v>
      </c>
    </row>
    <row r="14" spans="1:9" ht="12">
      <c r="A14" t="s">
        <v>1560</v>
      </c>
      <c r="B14" t="s">
        <v>1541</v>
      </c>
      <c r="C14" s="56" t="s">
        <v>1690</v>
      </c>
      <c r="D14" s="56" t="s">
        <v>1690</v>
      </c>
      <c r="E14" s="56" t="s">
        <v>1690</v>
      </c>
      <c r="F14" s="56" t="s">
        <v>1690</v>
      </c>
      <c r="G14" s="56" t="s">
        <v>1690</v>
      </c>
      <c r="H14" s="56" t="s">
        <v>1690</v>
      </c>
      <c r="I14">
        <v>1</v>
      </c>
    </row>
    <row r="15" spans="1:9" ht="12">
      <c r="A15" t="s">
        <v>1569</v>
      </c>
      <c r="B15" t="s">
        <v>1550</v>
      </c>
      <c r="C15" s="56">
        <f t="shared" si="1"/>
        <v>83.377171</v>
      </c>
      <c r="D15" s="56">
        <f t="shared" si="1"/>
        <v>16.300145</v>
      </c>
      <c r="E15" s="56">
        <f t="shared" si="1"/>
        <v>3.412505</v>
      </c>
      <c r="F15" s="56">
        <f t="shared" si="1"/>
        <v>0.590934</v>
      </c>
      <c r="G15" s="56">
        <f t="shared" si="1"/>
        <v>5.723584000000001</v>
      </c>
      <c r="H15" s="56">
        <f t="shared" si="1"/>
        <v>0.884209</v>
      </c>
      <c r="I15">
        <v>1</v>
      </c>
    </row>
    <row r="16" spans="1:9" ht="12">
      <c r="A16" t="s">
        <v>1564</v>
      </c>
      <c r="B16" t="s">
        <v>1545</v>
      </c>
      <c r="C16" s="56">
        <f t="shared" si="1"/>
        <v>1.9194309999999999</v>
      </c>
      <c r="D16" s="56">
        <f t="shared" si="1"/>
        <v>3.529456</v>
      </c>
      <c r="E16" s="56">
        <f t="shared" si="1"/>
        <v>0.104717</v>
      </c>
      <c r="F16" s="56">
        <f t="shared" si="1"/>
        <v>0.322369</v>
      </c>
      <c r="G16" s="56">
        <f t="shared" si="1"/>
        <v>0.178787</v>
      </c>
      <c r="H16" s="56">
        <f t="shared" si="1"/>
        <v>0.525524</v>
      </c>
      <c r="I16">
        <v>1</v>
      </c>
    </row>
    <row r="17" spans="1:9" ht="12">
      <c r="A17" t="s">
        <v>1563</v>
      </c>
      <c r="B17" t="s">
        <v>1544</v>
      </c>
      <c r="C17" s="56">
        <f t="shared" si="1"/>
        <v>3.228201</v>
      </c>
      <c r="D17" s="56">
        <f t="shared" si="1"/>
        <v>6.055699</v>
      </c>
      <c r="E17" s="56">
        <f t="shared" si="1"/>
        <v>0.659935</v>
      </c>
      <c r="F17" s="56">
        <f t="shared" si="1"/>
        <v>1.8506559999999999</v>
      </c>
      <c r="G17" s="56">
        <f t="shared" si="1"/>
        <v>0.79957</v>
      </c>
      <c r="H17" s="56">
        <f t="shared" si="1"/>
        <v>1.82837</v>
      </c>
      <c r="I17">
        <v>1</v>
      </c>
    </row>
    <row r="18" spans="1:9" ht="12">
      <c r="A18" t="s">
        <v>1566</v>
      </c>
      <c r="B18" t="s">
        <v>1547</v>
      </c>
      <c r="C18" s="56">
        <f t="shared" si="1"/>
        <v>6.847486999999999</v>
      </c>
      <c r="D18" s="56">
        <f t="shared" si="1"/>
        <v>2.572418</v>
      </c>
      <c r="E18" s="56">
        <f t="shared" si="1"/>
        <v>2.100786</v>
      </c>
      <c r="F18" s="56">
        <f t="shared" si="1"/>
        <v>1.2082600000000001</v>
      </c>
      <c r="G18" s="56">
        <f t="shared" si="1"/>
        <v>2.6261840000000003</v>
      </c>
      <c r="H18" s="56">
        <f t="shared" si="1"/>
        <v>1.375231</v>
      </c>
      <c r="I18">
        <v>1</v>
      </c>
    </row>
    <row r="19" spans="1:9" ht="12">
      <c r="A19" t="s">
        <v>1565</v>
      </c>
      <c r="B19" t="s">
        <v>1546</v>
      </c>
      <c r="C19" s="56">
        <f t="shared" si="1"/>
        <v>16.742174000000002</v>
      </c>
      <c r="D19" s="56" t="s">
        <v>1690</v>
      </c>
      <c r="E19" s="56">
        <f t="shared" si="1"/>
        <v>1.121873</v>
      </c>
      <c r="F19" s="56">
        <f t="shared" si="1"/>
        <v>0.204825</v>
      </c>
      <c r="G19" s="56">
        <f t="shared" si="1"/>
        <v>1.8915350000000002</v>
      </c>
      <c r="H19" s="56" t="s">
        <v>1690</v>
      </c>
      <c r="I19">
        <v>1</v>
      </c>
    </row>
    <row r="20" spans="1:9" ht="12">
      <c r="A20" t="s">
        <v>1571</v>
      </c>
      <c r="B20" t="s">
        <v>1553</v>
      </c>
      <c r="C20" s="56" t="s">
        <v>1690</v>
      </c>
      <c r="D20" s="56" t="s">
        <v>1690</v>
      </c>
      <c r="E20" s="56" t="s">
        <v>1690</v>
      </c>
      <c r="F20" s="56" t="s">
        <v>1690</v>
      </c>
      <c r="G20" s="56" t="s">
        <v>1690</v>
      </c>
      <c r="H20" s="56" t="s">
        <v>1690</v>
      </c>
      <c r="I20">
        <v>1</v>
      </c>
    </row>
    <row r="21" spans="1:9" ht="12">
      <c r="A21" t="s">
        <v>1573</v>
      </c>
      <c r="B21" t="s">
        <v>1555</v>
      </c>
      <c r="C21" s="56">
        <f t="shared" si="1"/>
        <v>19.681422</v>
      </c>
      <c r="D21" s="56">
        <f t="shared" si="1"/>
        <v>25.00892</v>
      </c>
      <c r="E21" s="56">
        <f t="shared" si="1"/>
        <v>1.472181</v>
      </c>
      <c r="F21" s="56">
        <f t="shared" si="1"/>
        <v>3.005155</v>
      </c>
      <c r="G21" s="56">
        <f t="shared" si="1"/>
        <v>3.0627310000000003</v>
      </c>
      <c r="H21" s="56">
        <f t="shared" si="1"/>
        <v>5.187633</v>
      </c>
      <c r="I21">
        <v>1</v>
      </c>
    </row>
    <row r="22" spans="1:9" ht="12">
      <c r="A22" t="s">
        <v>1567</v>
      </c>
      <c r="B22" t="s">
        <v>1548</v>
      </c>
      <c r="C22" s="56">
        <f t="shared" si="1"/>
        <v>1.8221939999999999</v>
      </c>
      <c r="D22" s="56">
        <f t="shared" si="1"/>
        <v>1.516952</v>
      </c>
      <c r="E22" s="56">
        <f t="shared" si="1"/>
        <v>0.220683</v>
      </c>
      <c r="F22" s="56">
        <f t="shared" si="1"/>
        <v>0.283273</v>
      </c>
      <c r="G22" s="56">
        <f t="shared" si="1"/>
        <v>0.477935</v>
      </c>
      <c r="H22" s="56">
        <f t="shared" si="1"/>
        <v>0.585885</v>
      </c>
      <c r="I22">
        <v>1</v>
      </c>
    </row>
    <row r="23" spans="1:9" ht="12">
      <c r="A23" t="s">
        <v>1570</v>
      </c>
      <c r="B23" t="s">
        <v>1552</v>
      </c>
      <c r="C23" s="56" t="s">
        <v>1690</v>
      </c>
      <c r="D23" s="56" t="s">
        <v>1690</v>
      </c>
      <c r="E23" s="56" t="s">
        <v>1690</v>
      </c>
      <c r="F23" s="56" t="s">
        <v>1690</v>
      </c>
      <c r="G23" s="56" t="s">
        <v>1690</v>
      </c>
      <c r="H23" s="56" t="s">
        <v>1690</v>
      </c>
      <c r="I23">
        <v>1</v>
      </c>
    </row>
    <row r="24" spans="1:9" ht="12">
      <c r="A24" t="s">
        <v>1572</v>
      </c>
      <c r="B24" t="s">
        <v>1554</v>
      </c>
      <c r="C24" s="56" t="s">
        <v>1690</v>
      </c>
      <c r="D24" s="56" t="s">
        <v>1690</v>
      </c>
      <c r="E24" s="56" t="s">
        <v>1690</v>
      </c>
      <c r="F24" s="56" t="s">
        <v>1690</v>
      </c>
      <c r="G24" s="56" t="s">
        <v>1690</v>
      </c>
      <c r="H24" s="56" t="s">
        <v>1690</v>
      </c>
      <c r="I24">
        <v>1</v>
      </c>
    </row>
    <row r="25" spans="1:9" ht="12">
      <c r="A25" t="s">
        <v>1688</v>
      </c>
      <c r="B25" t="s">
        <v>1687</v>
      </c>
      <c r="C25" s="56" t="s">
        <v>1690</v>
      </c>
      <c r="D25" s="56" t="s">
        <v>1690</v>
      </c>
      <c r="E25" s="56" t="s">
        <v>1690</v>
      </c>
      <c r="F25" s="56" t="s">
        <v>1690</v>
      </c>
      <c r="G25" s="56" t="s">
        <v>1690</v>
      </c>
      <c r="H25" s="56" t="s">
        <v>1690</v>
      </c>
      <c r="I25">
        <v>1</v>
      </c>
    </row>
    <row r="26" spans="1:9" ht="12">
      <c r="A26" t="s">
        <v>144</v>
      </c>
      <c r="B26" t="s">
        <v>1551</v>
      </c>
      <c r="C26" s="56">
        <f aca="true" t="shared" si="2" ref="C26:H27">B48*100</f>
        <v>0.6294270000000001</v>
      </c>
      <c r="D26" s="56">
        <f t="shared" si="2"/>
        <v>0.443347</v>
      </c>
      <c r="E26" s="56">
        <f t="shared" si="2"/>
        <v>0.191361</v>
      </c>
      <c r="F26" s="56">
        <f t="shared" si="2"/>
        <v>0.126717</v>
      </c>
      <c r="G26" s="56">
        <f t="shared" si="2"/>
        <v>0.23220300000000002</v>
      </c>
      <c r="H26" s="56">
        <f t="shared" si="2"/>
        <v>0.146342</v>
      </c>
      <c r="I26">
        <v>1</v>
      </c>
    </row>
    <row r="27" spans="1:9" ht="12">
      <c r="A27" t="s">
        <v>1574</v>
      </c>
      <c r="B27" t="s">
        <v>1556</v>
      </c>
      <c r="C27" s="56">
        <f t="shared" si="2"/>
        <v>0.564912</v>
      </c>
      <c r="D27" s="56">
        <f t="shared" si="2"/>
        <v>1.314178</v>
      </c>
      <c r="E27" s="56">
        <f t="shared" si="2"/>
        <v>0.11844900000000001</v>
      </c>
      <c r="F27" s="56">
        <f t="shared" si="2"/>
        <v>0.398569</v>
      </c>
      <c r="G27" s="56">
        <f t="shared" si="2"/>
        <v>0.141891</v>
      </c>
      <c r="H27" s="56">
        <f t="shared" si="2"/>
        <v>0.44702</v>
      </c>
      <c r="I27">
        <v>1</v>
      </c>
    </row>
    <row r="29" spans="2:7" ht="12">
      <c r="B29" t="s">
        <v>1154</v>
      </c>
      <c r="C29" t="s">
        <v>1155</v>
      </c>
      <c r="D29" t="s">
        <v>1156</v>
      </c>
      <c r="E29" t="s">
        <v>1157</v>
      </c>
      <c r="F29" t="s">
        <v>1377</v>
      </c>
      <c r="G29" t="s">
        <v>1378</v>
      </c>
    </row>
    <row r="30" spans="1:7" ht="12">
      <c r="A30" t="s">
        <v>1158</v>
      </c>
      <c r="B30">
        <v>0.06762423</v>
      </c>
      <c r="C30">
        <v>0.07740884</v>
      </c>
      <c r="D30">
        <v>0.00621813</v>
      </c>
      <c r="E30">
        <v>0.00753416</v>
      </c>
      <c r="F30">
        <v>0.02096665</v>
      </c>
      <c r="G30">
        <v>0.02472721</v>
      </c>
    </row>
    <row r="31" spans="1:7" ht="12">
      <c r="A31" t="s">
        <v>1159</v>
      </c>
      <c r="B31">
        <v>0.06371849</v>
      </c>
      <c r="C31">
        <v>0.01665149</v>
      </c>
      <c r="D31">
        <v>0.01171897</v>
      </c>
      <c r="E31">
        <v>0.00341843</v>
      </c>
      <c r="F31">
        <v>0.01396564</v>
      </c>
      <c r="G31">
        <v>0.00300594</v>
      </c>
    </row>
    <row r="32" spans="1:7" ht="12">
      <c r="A32" t="s">
        <v>1160</v>
      </c>
      <c r="B32">
        <v>0.11495971</v>
      </c>
      <c r="C32">
        <v>0.07430238</v>
      </c>
      <c r="D32">
        <v>0.00585669</v>
      </c>
      <c r="E32">
        <v>0.00448316</v>
      </c>
      <c r="F32">
        <v>0.01073826</v>
      </c>
      <c r="G32">
        <v>0.00743394</v>
      </c>
    </row>
    <row r="33" spans="1:7" ht="12">
      <c r="A33" t="s">
        <v>1161</v>
      </c>
      <c r="B33">
        <v>0.06841233</v>
      </c>
      <c r="C33">
        <v>0.01270206</v>
      </c>
      <c r="D33">
        <v>0.01374935</v>
      </c>
      <c r="E33">
        <v>0.00373381</v>
      </c>
      <c r="F33">
        <v>0.02137345</v>
      </c>
      <c r="G33">
        <v>0.00477972</v>
      </c>
    </row>
    <row r="34" spans="1:7" ht="12">
      <c r="A34" t="s">
        <v>1162</v>
      </c>
      <c r="B34" t="s">
        <v>1689</v>
      </c>
      <c r="C34" t="s">
        <v>1689</v>
      </c>
      <c r="D34" t="s">
        <v>1689</v>
      </c>
      <c r="E34" t="s">
        <v>1689</v>
      </c>
      <c r="F34" t="s">
        <v>1689</v>
      </c>
      <c r="G34" t="s">
        <v>1689</v>
      </c>
    </row>
    <row r="35" spans="1:7" ht="12">
      <c r="A35" t="s">
        <v>1163</v>
      </c>
      <c r="B35">
        <v>0.13793351</v>
      </c>
      <c r="C35">
        <v>0.07802845</v>
      </c>
      <c r="D35">
        <v>0.01392466</v>
      </c>
      <c r="E35">
        <v>0.00390755</v>
      </c>
      <c r="F35">
        <v>0.02588351</v>
      </c>
      <c r="G35">
        <v>0.01926883</v>
      </c>
    </row>
    <row r="36" spans="1:7" ht="12">
      <c r="A36" t="s">
        <v>1164</v>
      </c>
      <c r="B36" t="s">
        <v>1689</v>
      </c>
      <c r="C36" t="s">
        <v>1689</v>
      </c>
      <c r="D36" t="s">
        <v>1689</v>
      </c>
      <c r="E36" t="s">
        <v>1689</v>
      </c>
      <c r="F36" t="s">
        <v>1689</v>
      </c>
      <c r="G36" t="s">
        <v>1689</v>
      </c>
    </row>
    <row r="37" spans="1:7" ht="12">
      <c r="A37" t="s">
        <v>1165</v>
      </c>
      <c r="B37">
        <v>0.83377171</v>
      </c>
      <c r="C37">
        <v>0.16300145</v>
      </c>
      <c r="D37">
        <v>0.03412505</v>
      </c>
      <c r="E37">
        <v>0.00590934</v>
      </c>
      <c r="F37">
        <v>0.05723584</v>
      </c>
      <c r="G37">
        <v>0.00884209</v>
      </c>
    </row>
    <row r="38" spans="1:7" ht="12">
      <c r="A38" t="s">
        <v>1166</v>
      </c>
      <c r="B38">
        <v>0.01919431</v>
      </c>
      <c r="C38">
        <v>0.03529456</v>
      </c>
      <c r="D38">
        <v>0.00104717</v>
      </c>
      <c r="E38">
        <v>0.00322369</v>
      </c>
      <c r="F38">
        <v>0.00178787</v>
      </c>
      <c r="G38">
        <v>0.00525524</v>
      </c>
    </row>
    <row r="39" spans="1:7" ht="12">
      <c r="A39" t="s">
        <v>1167</v>
      </c>
      <c r="B39">
        <v>0.03228201</v>
      </c>
      <c r="C39">
        <v>0.06055699</v>
      </c>
      <c r="D39">
        <v>0.00659935</v>
      </c>
      <c r="E39">
        <v>0.01850656</v>
      </c>
      <c r="F39">
        <v>0.0079957</v>
      </c>
      <c r="G39">
        <v>0.0182837</v>
      </c>
    </row>
    <row r="40" spans="1:7" ht="12">
      <c r="A40" t="s">
        <v>1168</v>
      </c>
      <c r="B40">
        <v>0.06847487</v>
      </c>
      <c r="C40">
        <v>0.02572418</v>
      </c>
      <c r="D40">
        <v>0.02100786</v>
      </c>
      <c r="E40">
        <v>0.0120826</v>
      </c>
      <c r="F40">
        <v>0.02626184</v>
      </c>
      <c r="G40">
        <v>0.01375231</v>
      </c>
    </row>
    <row r="41" spans="1:7" ht="12">
      <c r="A41" t="s">
        <v>1169</v>
      </c>
      <c r="B41">
        <v>0.16742174</v>
      </c>
      <c r="C41" t="s">
        <v>1689</v>
      </c>
      <c r="D41">
        <v>0.01121873</v>
      </c>
      <c r="E41">
        <v>0.00204825</v>
      </c>
      <c r="F41">
        <v>0.01891535</v>
      </c>
      <c r="G41" t="s">
        <v>1689</v>
      </c>
    </row>
    <row r="42" spans="1:7" ht="12">
      <c r="A42" t="s">
        <v>1170</v>
      </c>
      <c r="B42" t="s">
        <v>1689</v>
      </c>
      <c r="C42" t="s">
        <v>1689</v>
      </c>
      <c r="D42" t="s">
        <v>1689</v>
      </c>
      <c r="E42" t="s">
        <v>1689</v>
      </c>
      <c r="F42" t="s">
        <v>1689</v>
      </c>
      <c r="G42" t="s">
        <v>1689</v>
      </c>
    </row>
    <row r="43" spans="1:7" ht="12">
      <c r="A43" t="s">
        <v>1171</v>
      </c>
      <c r="B43">
        <v>0.19681422</v>
      </c>
      <c r="C43">
        <v>0.2500892</v>
      </c>
      <c r="D43">
        <v>0.01472181</v>
      </c>
      <c r="E43">
        <v>0.03005155</v>
      </c>
      <c r="F43">
        <v>0.03062731</v>
      </c>
      <c r="G43">
        <v>0.05187633</v>
      </c>
    </row>
    <row r="44" spans="1:7" ht="12">
      <c r="A44" t="s">
        <v>1172</v>
      </c>
      <c r="B44">
        <v>0.01822194</v>
      </c>
      <c r="C44">
        <v>0.01516952</v>
      </c>
      <c r="D44">
        <v>0.00220683</v>
      </c>
      <c r="E44">
        <v>0.00283273</v>
      </c>
      <c r="F44">
        <v>0.00477935</v>
      </c>
      <c r="G44">
        <v>0.00585885</v>
      </c>
    </row>
    <row r="45" spans="1:7" ht="12">
      <c r="A45" t="s">
        <v>1173</v>
      </c>
      <c r="B45" t="s">
        <v>1689</v>
      </c>
      <c r="C45" t="s">
        <v>1689</v>
      </c>
      <c r="D45" t="s">
        <v>1689</v>
      </c>
      <c r="E45" t="s">
        <v>1689</v>
      </c>
      <c r="F45" t="s">
        <v>1689</v>
      </c>
      <c r="G45" t="s">
        <v>1689</v>
      </c>
    </row>
    <row r="46" spans="1:7" ht="12">
      <c r="A46" t="s">
        <v>1174</v>
      </c>
      <c r="B46" t="s">
        <v>1689</v>
      </c>
      <c r="C46" t="s">
        <v>1689</v>
      </c>
      <c r="D46" t="s">
        <v>1689</v>
      </c>
      <c r="E46" t="s">
        <v>1689</v>
      </c>
      <c r="F46" t="s">
        <v>1689</v>
      </c>
      <c r="G46" t="s">
        <v>1689</v>
      </c>
    </row>
    <row r="47" spans="1:7" ht="12">
      <c r="A47" t="s">
        <v>1175</v>
      </c>
      <c r="B47" t="s">
        <v>1689</v>
      </c>
      <c r="C47" t="s">
        <v>1689</v>
      </c>
      <c r="D47" t="s">
        <v>1689</v>
      </c>
      <c r="E47" t="s">
        <v>1689</v>
      </c>
      <c r="F47" t="s">
        <v>1689</v>
      </c>
      <c r="G47" t="s">
        <v>1689</v>
      </c>
    </row>
    <row r="48" spans="1:7" ht="12">
      <c r="A48" t="s">
        <v>1254</v>
      </c>
      <c r="B48">
        <v>0.00629427</v>
      </c>
      <c r="C48">
        <v>0.00443347</v>
      </c>
      <c r="D48">
        <v>0.00191361</v>
      </c>
      <c r="E48">
        <v>0.00126717</v>
      </c>
      <c r="F48">
        <v>0.00232203</v>
      </c>
      <c r="G48">
        <v>0.00146342</v>
      </c>
    </row>
    <row r="49" spans="1:7" ht="12">
      <c r="A49" t="s">
        <v>1582</v>
      </c>
      <c r="B49">
        <v>0.00564912</v>
      </c>
      <c r="C49">
        <v>0.01314178</v>
      </c>
      <c r="D49">
        <v>0.00118449</v>
      </c>
      <c r="E49">
        <v>0.00398569</v>
      </c>
      <c r="F49">
        <v>0.00141891</v>
      </c>
      <c r="G49">
        <v>0.0044702</v>
      </c>
    </row>
    <row r="55" ht="12">
      <c r="A55" t="s">
        <v>1702</v>
      </c>
    </row>
    <row r="56" ht="12">
      <c r="A56" t="s">
        <v>1703</v>
      </c>
    </row>
    <row r="57" ht="12">
      <c r="A57" t="s">
        <v>1485</v>
      </c>
    </row>
    <row r="58" ht="12">
      <c r="A58" t="s">
        <v>1486</v>
      </c>
    </row>
    <row r="59" ht="12">
      <c r="A59" t="s">
        <v>1706</v>
      </c>
    </row>
    <row r="60" ht="12">
      <c r="A60" t="s">
        <v>1487</v>
      </c>
    </row>
    <row r="61" ht="12">
      <c r="A61" t="s">
        <v>1488</v>
      </c>
    </row>
    <row r="62" ht="12">
      <c r="A62" t="s">
        <v>1489</v>
      </c>
    </row>
    <row r="63" ht="12">
      <c r="A63" t="s">
        <v>1490</v>
      </c>
    </row>
  </sheetData>
  <mergeCells count="3">
    <mergeCell ref="C6:D6"/>
    <mergeCell ref="E6:F6"/>
    <mergeCell ref="G6:H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2006-06-10T23:26:51Z</dcterms:created>
  <dcterms:modified xsi:type="dcterms:W3CDTF">2008-10-09T23:42:26Z</dcterms:modified>
  <cp:category/>
  <cp:version/>
  <cp:contentType/>
  <cp:contentStatus/>
</cp:coreProperties>
</file>